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240" windowWidth="15480" windowHeight="11640" tabRatio="891" activeTab="0"/>
  </bookViews>
  <sheets>
    <sheet name="Core Stationing" sheetId="1" r:id="rId1"/>
    <sheet name="random numbers" sheetId="2" state="hidden" r:id="rId2"/>
    <sheet name="Core Wksht" sheetId="3" r:id="rId3"/>
    <sheet name="Blank Core Wksht" sheetId="4" r:id="rId4"/>
    <sheet name="Notes" sheetId="5" r:id="rId5"/>
  </sheets>
  <definedNames>
    <definedName name="Begin_Station__Lane_LT">#REF!</definedName>
    <definedName name="Begin_Station__Lane_RT">#REF!</definedName>
    <definedName name="BLA">#REF!</definedName>
    <definedName name="BLB">#REF!</definedName>
    <definedName name="Date_Mix_Cored">#REF!</definedName>
    <definedName name="DMC">#REF!</definedName>
    <definedName name="ELA">#REF!</definedName>
    <definedName name="ELB">#REF!</definedName>
    <definedName name="End_Station__Lane_LT">#REF!</definedName>
    <definedName name="End_Station__Lane_RT">#REF!</definedName>
    <definedName name="Lane_Width_Paved">#REF!</definedName>
    <definedName name="LotDetermination">#REF!</definedName>
    <definedName name="LWP">#REF!</definedName>
    <definedName name="Minimum_Lots_Required">#REF!</definedName>
    <definedName name="Mix_Type" localSheetId="0">'Core Stationing'!$D$49</definedName>
    <definedName name="Mix_Type">#REF!</definedName>
    <definedName name="MLR">#REF!</definedName>
    <definedName name="_xlnm.Print_Area" localSheetId="0">'Core Stationing'!$B$1:$O$121</definedName>
    <definedName name="Required_Lot_Length">#REF!</definedName>
    <definedName name="RLL">#REF!</definedName>
    <definedName name="SLA">#REF!</definedName>
    <definedName name="SLB">#REF!</definedName>
    <definedName name="Stations_Paved__Lane_RT">#REF!</definedName>
    <definedName name="Stations_Paved_Lane_LT">#REF!</definedName>
    <definedName name="Total_Stations_Paved">#REF!</definedName>
    <definedName name="Total_Tons_Paved">#REF!</definedName>
    <definedName name="TSP">#REF!</definedName>
    <definedName name="TTP">#REF!</definedName>
  </definedNames>
  <calcPr fullCalcOnLoad="1"/>
</workbook>
</file>

<file path=xl/sharedStrings.xml><?xml version="1.0" encoding="utf-8"?>
<sst xmlns="http://schemas.openxmlformats.org/spreadsheetml/2006/main" count="612" uniqueCount="409">
  <si>
    <t>Contractor</t>
  </si>
  <si>
    <t>Mix Type</t>
  </si>
  <si>
    <t>Tons</t>
  </si>
  <si>
    <t>Lots</t>
  </si>
  <si>
    <t>Length</t>
  </si>
  <si>
    <t>Station</t>
  </si>
  <si>
    <t>Date Paved</t>
  </si>
  <si>
    <t>Lot</t>
  </si>
  <si>
    <t>Core</t>
  </si>
  <si>
    <t>of</t>
  </si>
  <si>
    <t>Engineer</t>
  </si>
  <si>
    <t>Day #</t>
  </si>
  <si>
    <t>Lane</t>
  </si>
  <si>
    <t>Plant</t>
  </si>
  <si>
    <t>Date Cored</t>
  </si>
  <si>
    <t>Lane Name</t>
  </si>
  <si>
    <t>Direction</t>
  </si>
  <si>
    <t>Bid Price/Ton</t>
  </si>
  <si>
    <t>Mix Spec</t>
  </si>
  <si>
    <t>Lots Required</t>
  </si>
  <si>
    <t>Tons Per Lot</t>
  </si>
  <si>
    <t>Random</t>
  </si>
  <si>
    <t>#</t>
  </si>
  <si>
    <t>Name</t>
  </si>
  <si>
    <t>Width</t>
  </si>
  <si>
    <t>Remarks</t>
  </si>
  <si>
    <t>Street Inspector</t>
  </si>
  <si>
    <t>English Tons</t>
  </si>
  <si>
    <t>0-600</t>
  </si>
  <si>
    <t>601-1000</t>
  </si>
  <si>
    <t>1001-1600</t>
  </si>
  <si>
    <t>1601-3600</t>
  </si>
  <si>
    <t>3601-5000</t>
  </si>
  <si>
    <t>&gt;5000</t>
  </si>
  <si>
    <t>Offset</t>
  </si>
  <si>
    <t>Daily Production</t>
  </si>
  <si>
    <t># of Lots</t>
  </si>
  <si>
    <t>MDR/Rec#</t>
  </si>
  <si>
    <t>LJD Cores</t>
  </si>
  <si>
    <t>Random #</t>
  </si>
  <si>
    <t>Lane Width</t>
  </si>
  <si>
    <t>Companion</t>
  </si>
  <si>
    <t>Label</t>
  </si>
  <si>
    <t>Gearbox</t>
  </si>
  <si>
    <t>(ft)</t>
  </si>
  <si>
    <t>Core ID</t>
  </si>
  <si>
    <t>Area</t>
  </si>
  <si>
    <t>SP</t>
  </si>
  <si>
    <t>SAP</t>
  </si>
  <si>
    <t>CP</t>
  </si>
  <si>
    <t>TH</t>
  </si>
  <si>
    <t>CSAH</t>
  </si>
  <si>
    <t>CR</t>
  </si>
  <si>
    <t>Begin Station</t>
  </si>
  <si>
    <t>End Station</t>
  </si>
  <si>
    <t>Yes</t>
  </si>
  <si>
    <t>No</t>
  </si>
  <si>
    <t>Longitudinal Joint Density Project?</t>
  </si>
  <si>
    <t>County</t>
  </si>
  <si>
    <t>Drop Down Box Lists</t>
  </si>
  <si>
    <t>Project</t>
  </si>
  <si>
    <t>Road Type</t>
  </si>
  <si>
    <t>LJD?</t>
  </si>
  <si>
    <t>Aitkin</t>
  </si>
  <si>
    <t>Anoka</t>
  </si>
  <si>
    <t>Becker</t>
  </si>
  <si>
    <t>Beltrami</t>
  </si>
  <si>
    <t>Benton</t>
  </si>
  <si>
    <t>Big Stone</t>
  </si>
  <si>
    <t>Blue Earth</t>
  </si>
  <si>
    <t>Brown</t>
  </si>
  <si>
    <t>Carlton</t>
  </si>
  <si>
    <t>Carver</t>
  </si>
  <si>
    <t>Cass</t>
  </si>
  <si>
    <t>Chippewa</t>
  </si>
  <si>
    <t>Chisago</t>
  </si>
  <si>
    <t>Clay</t>
  </si>
  <si>
    <t>Clearwater</t>
  </si>
  <si>
    <t>Cook</t>
  </si>
  <si>
    <t>Cottonwood</t>
  </si>
  <si>
    <t>Crow Wing</t>
  </si>
  <si>
    <t>Dakota</t>
  </si>
  <si>
    <t>Dodge</t>
  </si>
  <si>
    <t>Douglas</t>
  </si>
  <si>
    <t>Faribault</t>
  </si>
  <si>
    <t>Fillmore</t>
  </si>
  <si>
    <t>Freeborn</t>
  </si>
  <si>
    <t>Goodhue</t>
  </si>
  <si>
    <t>Grant</t>
  </si>
  <si>
    <t>Hennepin</t>
  </si>
  <si>
    <t>Houston</t>
  </si>
  <si>
    <t>Hubbard</t>
  </si>
  <si>
    <t>Isanti</t>
  </si>
  <si>
    <t>Jackson</t>
  </si>
  <si>
    <t>Kanabec</t>
  </si>
  <si>
    <t>Kanndiyohi</t>
  </si>
  <si>
    <t>Kittson</t>
  </si>
  <si>
    <t>Koochiching</t>
  </si>
  <si>
    <t>Lac qui Parle</t>
  </si>
  <si>
    <t>Lake</t>
  </si>
  <si>
    <t>Lake of the Woods</t>
  </si>
  <si>
    <t>Le Sueur</t>
  </si>
  <si>
    <t>Lincoln</t>
  </si>
  <si>
    <t>Lyon</t>
  </si>
  <si>
    <t>Mahnomen</t>
  </si>
  <si>
    <t>Marshall</t>
  </si>
  <si>
    <t>Martin</t>
  </si>
  <si>
    <t>McLeod</t>
  </si>
  <si>
    <t>Meeker</t>
  </si>
  <si>
    <t>Mille Lacs</t>
  </si>
  <si>
    <t>Morrison</t>
  </si>
  <si>
    <t>Mower</t>
  </si>
  <si>
    <t>Murray</t>
  </si>
  <si>
    <t>Nicollet</t>
  </si>
  <si>
    <t>Nobles</t>
  </si>
  <si>
    <t>Norman</t>
  </si>
  <si>
    <t>Olmsted</t>
  </si>
  <si>
    <t>Otter Tail</t>
  </si>
  <si>
    <t>Pennington</t>
  </si>
  <si>
    <t>Pine</t>
  </si>
  <si>
    <t>Pipestone</t>
  </si>
  <si>
    <t>Polk</t>
  </si>
  <si>
    <t>Pope</t>
  </si>
  <si>
    <t>Ramsey</t>
  </si>
  <si>
    <t>Red Lake</t>
  </si>
  <si>
    <t>Redwood</t>
  </si>
  <si>
    <t>Renville</t>
  </si>
  <si>
    <t>Rice</t>
  </si>
  <si>
    <t>Rock</t>
  </si>
  <si>
    <t>Roseau</t>
  </si>
  <si>
    <t>Scott</t>
  </si>
  <si>
    <t>Sherburne</t>
  </si>
  <si>
    <t>Sibley</t>
  </si>
  <si>
    <t>St. Louis</t>
  </si>
  <si>
    <t>Stearns</t>
  </si>
  <si>
    <t>Steele</t>
  </si>
  <si>
    <t>Stevens</t>
  </si>
  <si>
    <t>Swift</t>
  </si>
  <si>
    <t>Todd</t>
  </si>
  <si>
    <t>Traverse</t>
  </si>
  <si>
    <t>Wabasha</t>
  </si>
  <si>
    <t>Wadena</t>
  </si>
  <si>
    <t>Waseca</t>
  </si>
  <si>
    <t>Washington</t>
  </si>
  <si>
    <t>Watonwan</t>
  </si>
  <si>
    <t>Wilkin</t>
  </si>
  <si>
    <t>Winona</t>
  </si>
  <si>
    <t>Wright</t>
  </si>
  <si>
    <t>Yellow Medicine</t>
  </si>
  <si>
    <t>(ft.)</t>
  </si>
  <si>
    <t>Joint</t>
  </si>
  <si>
    <t>Mat</t>
  </si>
  <si>
    <t>ID</t>
  </si>
  <si>
    <t>(ft2)</t>
  </si>
  <si>
    <t>Total Area</t>
  </si>
  <si>
    <t>to test</t>
  </si>
  <si>
    <t>Lot Random # A</t>
  </si>
  <si>
    <t>Area/Lot</t>
  </si>
  <si>
    <t>Random Area</t>
  </si>
  <si>
    <t>Sum</t>
  </si>
  <si>
    <t>Total Lane Area</t>
  </si>
  <si>
    <t>Lane Station to Core</t>
  </si>
  <si>
    <t>1st Core</t>
  </si>
  <si>
    <t>2nd Core</t>
  </si>
  <si>
    <t>Lot #</t>
  </si>
  <si>
    <t>Sum Lane Area</t>
  </si>
  <si>
    <t>Lane End Station</t>
  </si>
  <si>
    <t>Distance from end of Station to core</t>
  </si>
  <si>
    <t>Determination of Mat Core Stationing:</t>
  </si>
  <si>
    <t>Test</t>
  </si>
  <si>
    <t>Which</t>
  </si>
  <si>
    <t>Core to</t>
  </si>
  <si>
    <t>Number</t>
  </si>
  <si>
    <t>Random#</t>
  </si>
  <si>
    <t>Number of</t>
  </si>
  <si>
    <t>LJD</t>
  </si>
  <si>
    <t>Is Mat</t>
  </si>
  <si>
    <t>a Value ("v")</t>
  </si>
  <si>
    <t>or Blank ("l")</t>
  </si>
  <si>
    <t>(For</t>
  </si>
  <si>
    <t>Calculations)</t>
  </si>
  <si>
    <t>to Test</t>
  </si>
  <si>
    <t>1ST</t>
  </si>
  <si>
    <t>Associated</t>
  </si>
  <si>
    <t>Core with</t>
  </si>
  <si>
    <t>2nd</t>
  </si>
  <si>
    <t>overlap of values</t>
  </si>
  <si>
    <t>and determine</t>
  </si>
  <si>
    <t>which 2nd</t>
  </si>
  <si>
    <t xml:space="preserve">LJD core to </t>
  </si>
  <si>
    <t>use</t>
  </si>
  <si>
    <t>Sub</t>
  </si>
  <si>
    <t>Numbers</t>
  </si>
  <si>
    <t>Decision Tree for</t>
  </si>
  <si>
    <t>Mat Core ID</t>
  </si>
  <si>
    <t>that will be</t>
  </si>
  <si>
    <t>tested</t>
  </si>
  <si>
    <t>(1=Yes, 2=No)</t>
  </si>
  <si>
    <t xml:space="preserve">Before </t>
  </si>
  <si>
    <t>Checking for</t>
  </si>
  <si>
    <t>LJD changes</t>
  </si>
  <si>
    <t>Mat Offset</t>
  </si>
  <si>
    <t>tested for LJD</t>
  </si>
  <si>
    <t>that will</t>
  </si>
  <si>
    <t>be tested</t>
  </si>
  <si>
    <t>Right or</t>
  </si>
  <si>
    <t>Left of</t>
  </si>
  <si>
    <t xml:space="preserve">that will be </t>
  </si>
  <si>
    <t>(Left = -2ft, Right= +2ft)</t>
  </si>
  <si>
    <t>Mat Core Offset Determination:</t>
  </si>
  <si>
    <t>Determine LJD cores to Test:</t>
  </si>
  <si>
    <t>Determination of which core the agency will test:</t>
  </si>
  <si>
    <t>1st LJD Core</t>
  </si>
  <si>
    <t>Determine 2nd LJD Core</t>
  </si>
  <si>
    <t>Given information from User:</t>
  </si>
  <si>
    <t>Left LJD</t>
  </si>
  <si>
    <t>Left LJD Core</t>
  </si>
  <si>
    <t>Offset Label for Table</t>
  </si>
  <si>
    <t>Right LJD</t>
  </si>
  <si>
    <t>Right LJD Core</t>
  </si>
  <si>
    <t>Test Companion</t>
  </si>
  <si>
    <t>Show</t>
  </si>
  <si>
    <t>Companion Cores?</t>
  </si>
  <si>
    <t>LJD Core Labels:</t>
  </si>
  <si>
    <t xml:space="preserve">County </t>
  </si>
  <si>
    <t>Itasca</t>
  </si>
  <si>
    <t>Type</t>
  </si>
  <si>
    <t>Confined</t>
  </si>
  <si>
    <t>Unconfined</t>
  </si>
  <si>
    <t>Cores Shown?</t>
  </si>
  <si>
    <t>Lots Used for Calcuations</t>
  </si>
  <si>
    <t>1st Choice</t>
  </si>
  <si>
    <t>2nd Choice</t>
  </si>
  <si>
    <t>3rd Choice</t>
  </si>
  <si>
    <t>Reset Random Numbers= CTRL m</t>
  </si>
  <si>
    <t xml:space="preserve">Mat </t>
  </si>
  <si>
    <t>TIME  IN:</t>
  </si>
  <si>
    <t>TIME OUT:</t>
  </si>
  <si>
    <r>
      <t xml:space="preserve">CORE       WORKSHEET         </t>
    </r>
    <r>
      <rPr>
        <sz val="16"/>
        <rFont val="Arial"/>
        <family val="2"/>
      </rPr>
      <t xml:space="preserve">    </t>
    </r>
  </si>
  <si>
    <t>MDR/Rec.#</t>
  </si>
  <si>
    <t>LJD Mat Core</t>
  </si>
  <si>
    <t xml:space="preserve"> Mix Type</t>
  </si>
  <si>
    <t xml:space="preserve"> Total  Tons</t>
  </si>
  <si>
    <t>Density Tons</t>
  </si>
  <si>
    <t>Misc. Tons</t>
  </si>
  <si>
    <t>Thickness</t>
  </si>
  <si>
    <t>AIR DRY</t>
  </si>
  <si>
    <t>CORE/PAN</t>
  </si>
  <si>
    <t>%  WATER</t>
  </si>
  <si>
    <t xml:space="preserve">AVE. </t>
  </si>
  <si>
    <t>MAX.</t>
  </si>
  <si>
    <t>FINAL DENSITY</t>
  </si>
  <si>
    <t>LOT</t>
  </si>
  <si>
    <t>CORE #</t>
  </si>
  <si>
    <t>(mm)/in</t>
  </si>
  <si>
    <t>CORE</t>
  </si>
  <si>
    <t>(or dry wt.)</t>
  </si>
  <si>
    <t>PAN ID.</t>
  </si>
  <si>
    <t>PAN WT.</t>
  </si>
  <si>
    <t>DRY WT.</t>
  </si>
  <si>
    <t>SSD WT.</t>
  </si>
  <si>
    <t>IMM. WT.</t>
  </si>
  <si>
    <t>ABSORBED</t>
  </si>
  <si>
    <t>Sp GRAV.</t>
  </si>
  <si>
    <t>GRAVITY</t>
  </si>
  <si>
    <t xml:space="preserve">% 0F MAXIMUM </t>
  </si>
  <si>
    <t>COMP</t>
  </si>
  <si>
    <t xml:space="preserve"> COMPANION  CORE,  TESTED BY Mn/DOT,  CHECK .030 TOLERANCE.</t>
  </si>
  <si>
    <t>QC</t>
  </si>
  <si>
    <t>QA</t>
  </si>
  <si>
    <t>Total Density Tons Paved</t>
  </si>
  <si>
    <t>SPWEA230</t>
  </si>
  <si>
    <t>SPWEA240</t>
  </si>
  <si>
    <t>SPWEA330</t>
  </si>
  <si>
    <t>SPWEA340</t>
  </si>
  <si>
    <t>SPWEA430</t>
  </si>
  <si>
    <t>SPWEA440</t>
  </si>
  <si>
    <t>SPWEA530</t>
  </si>
  <si>
    <t>SPWEA540</t>
  </si>
  <si>
    <t>SPWEB230</t>
  </si>
  <si>
    <t>SPWEB240</t>
  </si>
  <si>
    <t>SPWEB330</t>
  </si>
  <si>
    <t>SPWEB340</t>
  </si>
  <si>
    <t>SPWEB430</t>
  </si>
  <si>
    <t>SPWEB440</t>
  </si>
  <si>
    <t>SPWEB530</t>
  </si>
  <si>
    <t>SPWEB540</t>
  </si>
  <si>
    <t>SPWEC230</t>
  </si>
  <si>
    <t>SPWEC240</t>
  </si>
  <si>
    <t>SPWEC330</t>
  </si>
  <si>
    <t>SPWEC340</t>
  </si>
  <si>
    <t>SPWEC430</t>
  </si>
  <si>
    <t>SPWEC440</t>
  </si>
  <si>
    <t>SPWEC530</t>
  </si>
  <si>
    <t>SPWEC540</t>
  </si>
  <si>
    <t>SPNWA230</t>
  </si>
  <si>
    <t>SPNWA240</t>
  </si>
  <si>
    <t>SPNWA330</t>
  </si>
  <si>
    <t>SPNWA340</t>
  </si>
  <si>
    <t>SPNWA430</t>
  </si>
  <si>
    <t>SPNWA440</t>
  </si>
  <si>
    <t>SPNWA530</t>
  </si>
  <si>
    <t>SPNWA540</t>
  </si>
  <si>
    <t>SPNWB230</t>
  </si>
  <si>
    <t>SPNWB240</t>
  </si>
  <si>
    <t>SPNWB330</t>
  </si>
  <si>
    <t>SPNWB340</t>
  </si>
  <si>
    <t>SPNWB430</t>
  </si>
  <si>
    <t>SPNWB440</t>
  </si>
  <si>
    <t>SPNWB530</t>
  </si>
  <si>
    <t>SPNWB540</t>
  </si>
  <si>
    <t>SPNWC230</t>
  </si>
  <si>
    <t>SPNWC240</t>
  </si>
  <si>
    <t>SPNWC330</t>
  </si>
  <si>
    <t>SPNWC340</t>
  </si>
  <si>
    <t>SPNWC430</t>
  </si>
  <si>
    <t>SPNWC440</t>
  </si>
  <si>
    <t>SPNWC530</t>
  </si>
  <si>
    <t>SPNWC540</t>
  </si>
  <si>
    <t>Mix</t>
  </si>
  <si>
    <t>Bituminous Core Stationing</t>
  </si>
  <si>
    <t>Lift</t>
  </si>
  <si>
    <t>1st</t>
  </si>
  <si>
    <t>3rd</t>
  </si>
  <si>
    <t>4th</t>
  </si>
  <si>
    <t>5th</t>
  </si>
  <si>
    <t>6th</t>
  </si>
  <si>
    <t>7th</t>
  </si>
  <si>
    <t>NB</t>
  </si>
  <si>
    <t>SB</t>
  </si>
  <si>
    <t>EB</t>
  </si>
  <si>
    <t>WB</t>
  </si>
  <si>
    <t>Asphalt Binder Grade</t>
  </si>
  <si>
    <t>Asphalt</t>
  </si>
  <si>
    <t>Binder</t>
  </si>
  <si>
    <t>Grade</t>
  </si>
  <si>
    <t>A= PG 52-34</t>
  </si>
  <si>
    <t>H= PG 70-28</t>
  </si>
  <si>
    <t>L= PG 64-22</t>
  </si>
  <si>
    <t>B= PG 58-28</t>
  </si>
  <si>
    <t>C= PG 58-34</t>
  </si>
  <si>
    <t>E= PG 64-28</t>
  </si>
  <si>
    <t>F= PG 64-34</t>
  </si>
  <si>
    <t>Left</t>
  </si>
  <si>
    <t>Right</t>
  </si>
  <si>
    <t>Left Center</t>
  </si>
  <si>
    <t>Right Center</t>
  </si>
  <si>
    <t>Center</t>
  </si>
  <si>
    <t>Left Shldr</t>
  </si>
  <si>
    <t>Right Shldr</t>
  </si>
  <si>
    <t>Rt. Turn Lane</t>
  </si>
  <si>
    <t>Lt. Turn Lane</t>
  </si>
  <si>
    <t>Ramp</t>
  </si>
  <si>
    <t>Loop</t>
  </si>
  <si>
    <t>Density</t>
  </si>
  <si>
    <t>Determination</t>
  </si>
  <si>
    <t>1% Density Reduction?</t>
  </si>
  <si>
    <t>Tested?</t>
  </si>
  <si>
    <r>
      <t>Total Area Paved (ft</t>
    </r>
    <r>
      <rPr>
        <vertAlign val="superscript"/>
        <sz val="12"/>
        <rFont val="Arial"/>
        <family val="0"/>
      </rPr>
      <t>2</t>
    </r>
    <r>
      <rPr>
        <sz val="12"/>
        <rFont val="Arial"/>
        <family val="0"/>
      </rPr>
      <t>)</t>
    </r>
  </si>
  <si>
    <t>Changed language in Core Stationing cell I15 from "# of Additional Over-ride Lots" to "Over-ride # Lots"</t>
  </si>
  <si>
    <t>Over-ride # Lots</t>
  </si>
  <si>
    <t>to = if(((isnumber(k15))=true,k15,(vlookup(k11,AB5:AC10,2)))</t>
  </si>
  <si>
    <t>Problem:  Inspectors would like to have the option to hard code in the number of lots for the day</t>
  </si>
  <si>
    <t>Mainline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</si>
  <si>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</si>
  <si>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</si>
  <si>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</si>
  <si>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</si>
  <si>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</si>
  <si>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</si>
  <si>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</si>
  <si>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</si>
  <si>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</si>
  <si>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</si>
  <si>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Lane Letter for Calcs.</t>
  </si>
  <si>
    <t>Lane Letter to take core</t>
  </si>
  <si>
    <t>Problem:  If the same lane name is used in mutiple rows with gaps in the stationing, the spreadsheet may</t>
  </si>
  <si>
    <t>choose a core stationing in exception areas that are in the lanes specified.</t>
  </si>
  <si>
    <t>Solution:</t>
  </si>
  <si>
    <t>Created a row a unique letter to identify the lane names for calculation purposes.  These were inserted</t>
  </si>
  <si>
    <t xml:space="preserve">in "Core Stationing" E83:E92.  Then the formulas were adjusted in the subsiquent cells to included the column E.  </t>
  </si>
  <si>
    <t>Row 110 was added so the unique letter names are changed back to the user inputed names.</t>
  </si>
  <si>
    <t>All</t>
  </si>
  <si>
    <t>1 per Lot</t>
  </si>
  <si>
    <t>Problem:</t>
  </si>
  <si>
    <t xml:space="preserve">Would like three choices for if companion cores are tested.  (All, 1 per Lot, No) </t>
  </si>
  <si>
    <t>Modified "Core Stationing" J19 to have the choices (All, 1 per Lot, No) instead of (Yes, No)</t>
  </si>
  <si>
    <t>to =if($k$14&gt;=1,(if($J$19="All","Y",if(and($J$19="1 per Lot",$F123="Y"),$F123,""))),"")</t>
  </si>
  <si>
    <t xml:space="preserve"> from =IF(K15&gt;0,(VLOOKUP(K11,AB5:AC10,2)+K15),(VLOOKUP(K11,AB5:AC10,2)))</t>
  </si>
  <si>
    <t>Modified equation for cells I26:I37</t>
  </si>
  <si>
    <t>from =if($k$14&gt;=1,(if(and($j$19="Yes",$F123="Y"),$F123,""),"")</t>
  </si>
  <si>
    <t>Modified logic in Core Stationing cell k13</t>
  </si>
  <si>
    <t xml:space="preserve">The drop down boxes are limiting for inputting data for inspectors (Lift, Direction, Lane) </t>
  </si>
  <si>
    <t>Remove drop down boxes so description can be manually chosen.</t>
  </si>
  <si>
    <t>Removed drop down (B10:B19)</t>
  </si>
  <si>
    <t>I have not determined a way in Excel to have a drop down box that can be manually overwritten.</t>
  </si>
  <si>
    <t>Cores were being randomly selected for mat cores from only the mat width -2 feet</t>
  </si>
  <si>
    <t>Changed equation in cells I168:I179</t>
  </si>
  <si>
    <t>XX.2 cores were not being offset by if LJD core was in that lot.</t>
  </si>
  <si>
    <t>Recoded equations so the entire mat can be randomly selected.</t>
  </si>
  <si>
    <t>Inserted missing equations.</t>
  </si>
  <si>
    <t>Copied equations into XX.2 missing cells in J168:L179</t>
  </si>
  <si>
    <t xml:space="preserve">Type </t>
  </si>
  <si>
    <t>Non LJD</t>
  </si>
  <si>
    <t>Non LJD projects were coded so that the cores were no closer than 1 foot from the edge of the mat (confiined or unconfined)</t>
  </si>
  <si>
    <t>Reduced type of joint column to one, and recoded sheet so that unconfined and confined edges would have different calculations.</t>
  </si>
  <si>
    <t>Reduced type of joint column to one (I26:I37)</t>
  </si>
  <si>
    <t>Coded Non LJD core logic by inserted columns J168:L179</t>
  </si>
  <si>
    <t>Recoded logic in columnP168:P179 to search for non LJD cores in column L instead of I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</si>
</sst>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\+###.00"/>
    <numFmt numFmtId="166" formatCode="#\+##0.00_);\(#,##0.00\)"/>
    <numFmt numFmtId="167" formatCode="0.000"/>
    <numFmt numFmtId="168" formatCode="0.0%"/>
    <numFmt numFmtId="169" formatCode="0.0000"/>
    <numFmt numFmtId="170" formatCode="0.00000"/>
    <numFmt numFmtId="171" formatCode="#,##0.000"/>
    <numFmt numFmtId="172" formatCode=".0&quot;C&quot;"/>
    <numFmt numFmtId="173" formatCode="m/d/yy\ h:mm\ AM/PM"/>
    <numFmt numFmtId="174" formatCode="0.000000"/>
    <numFmt numFmtId="175" formatCode="#\+###"/>
    <numFmt numFmtId="176" formatCode="#\+##"/>
    <numFmt numFmtId="177" formatCode="00000"/>
    <numFmt numFmtId="178" formatCode="#\+00.00"/>
    <numFmt numFmtId="179" formatCode="#\+00"/>
    <numFmt numFmtId="180" formatCode="#\+000.00"/>
    <numFmt numFmtId="181" formatCode="#\+0000.00"/>
    <numFmt numFmtId="182" formatCode="&quot;$&quot;#,##0.00"/>
    <numFmt numFmtId="183" formatCode="#,##0.0"/>
    <numFmt numFmtId="184" formatCode="&quot;$&quot;#,##0.00;[Red]&quot;$&quot;#,##0.00"/>
    <numFmt numFmtId="185" formatCode="#\+000\ "/>
    <numFmt numFmtId="186" formatCode="m/d"/>
    <numFmt numFmtId="187" formatCode="mm/dd/yy"/>
    <numFmt numFmtId="188" formatCode="###\+##.00"/>
    <numFmt numFmtId="189" formatCode="#\+###."/>
    <numFmt numFmtId="190" formatCode="##\+##.00"/>
    <numFmt numFmtId="191" formatCode="##\+##"/>
    <numFmt numFmtId="192" formatCode="###\+##"/>
    <numFmt numFmtId="193" formatCode="####\+##.00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0"/>
      <color indexed="22"/>
      <name val="Arial"/>
      <family val="2"/>
    </font>
    <font>
      <b/>
      <sz val="18"/>
      <name val="Tahoma"/>
      <family val="2"/>
    </font>
    <font>
      <i/>
      <sz val="10"/>
      <color indexed="23"/>
      <name val="Arial"/>
      <family val="2"/>
    </font>
    <font>
      <b/>
      <u val="single"/>
      <sz val="10"/>
      <name val="Arial"/>
      <family val="2"/>
    </font>
    <font>
      <sz val="10"/>
      <color indexed="55"/>
      <name val="Arial"/>
      <family val="0"/>
    </font>
    <font>
      <b/>
      <sz val="8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6"/>
      <name val="Arial"/>
      <family val="2"/>
    </font>
    <font>
      <sz val="9"/>
      <name val="Arial"/>
      <family val="2"/>
    </font>
    <font>
      <sz val="7"/>
      <name val="Times (PCL6)"/>
      <family val="1"/>
    </font>
    <font>
      <sz val="8"/>
      <name val="Times (PCL6)"/>
      <family val="1"/>
    </font>
    <font>
      <b/>
      <sz val="20"/>
      <name val="Tahoma"/>
      <family val="2"/>
    </font>
    <font>
      <sz val="11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9">
    <xf numFmtId="0" fontId="0" fillId="0" borderId="0" xfId="0" applyAlignment="1">
      <alignment/>
    </xf>
    <xf numFmtId="167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88" fontId="0" fillId="0" borderId="0" xfId="0" applyNumberFormat="1" applyAlignment="1">
      <alignment/>
    </xf>
    <xf numFmtId="0" fontId="0" fillId="0" borderId="0" xfId="0" applyFill="1" applyBorder="1" applyAlignment="1">
      <alignment horizontal="center"/>
    </xf>
    <xf numFmtId="0" fontId="0" fillId="0" borderId="1" xfId="0" applyBorder="1" applyAlignment="1" applyProtection="1">
      <alignment/>
      <protection/>
    </xf>
    <xf numFmtId="1" fontId="0" fillId="0" borderId="2" xfId="0" applyNumberFormat="1" applyFill="1" applyBorder="1" applyAlignment="1" applyProtection="1">
      <alignment/>
      <protection/>
    </xf>
    <xf numFmtId="167" fontId="0" fillId="0" borderId="2" xfId="0" applyNumberFormat="1" applyFill="1" applyBorder="1" applyAlignment="1" applyProtection="1">
      <alignment/>
      <protection/>
    </xf>
    <xf numFmtId="175" fontId="0" fillId="0" borderId="2" xfId="0" applyNumberFormat="1" applyFill="1" applyBorder="1" applyAlignment="1" applyProtection="1">
      <alignment/>
      <protection/>
    </xf>
    <xf numFmtId="2" fontId="0" fillId="0" borderId="3" xfId="0" applyNumberFormat="1" applyFill="1" applyBorder="1" applyAlignment="1" applyProtection="1">
      <alignment/>
      <protection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2" borderId="6" xfId="0" applyFill="1" applyBorder="1" applyAlignment="1">
      <alignment horizontal="center"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4" fontId="8" fillId="0" borderId="0" xfId="0" applyNumberFormat="1" applyFont="1" applyBorder="1" applyAlignment="1" applyProtection="1">
      <alignment/>
      <protection/>
    </xf>
    <xf numFmtId="14" fontId="8" fillId="0" borderId="0" xfId="0" applyNumberFormat="1" applyFont="1" applyBorder="1" applyAlignment="1" applyProtection="1">
      <alignment horizontal="center"/>
      <protection/>
    </xf>
    <xf numFmtId="0" fontId="0" fillId="0" borderId="9" xfId="0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14" fontId="0" fillId="0" borderId="0" xfId="0" applyNumberFormat="1" applyFill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0" fillId="3" borderId="10" xfId="0" applyFill="1" applyBorder="1" applyAlignment="1" applyProtection="1">
      <alignment horizontal="center"/>
      <protection/>
    </xf>
    <xf numFmtId="193" fontId="0" fillId="3" borderId="10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44" fontId="0" fillId="0" borderId="0" xfId="17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0" fillId="0" borderId="2" xfId="0" applyBorder="1" applyAlignment="1" applyProtection="1">
      <alignment/>
      <protection/>
    </xf>
    <xf numFmtId="164" fontId="0" fillId="0" borderId="0" xfId="0" applyNumberForma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164" fontId="0" fillId="0" borderId="11" xfId="0" applyNumberForma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0" fillId="4" borderId="0" xfId="0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4" fillId="0" borderId="4" xfId="0" applyFont="1" applyFill="1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/>
    </xf>
    <xf numFmtId="0" fontId="0" fillId="0" borderId="5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2" fontId="0" fillId="0" borderId="10" xfId="0" applyNumberFormat="1" applyBorder="1" applyAlignment="1" applyProtection="1">
      <alignment horizontal="center"/>
      <protection/>
    </xf>
    <xf numFmtId="169" fontId="0" fillId="0" borderId="10" xfId="0" applyNumberFormat="1" applyBorder="1" applyAlignment="1" applyProtection="1">
      <alignment horizontal="center"/>
      <protection/>
    </xf>
    <xf numFmtId="164" fontId="0" fillId="0" borderId="10" xfId="0" applyNumberFormat="1" applyFill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7" xfId="0" applyBorder="1" applyAlignment="1" applyProtection="1">
      <alignment horizontal="center"/>
      <protection/>
    </xf>
    <xf numFmtId="0" fontId="4" fillId="0" borderId="7" xfId="0" applyFont="1" applyFill="1" applyBorder="1" applyAlignment="1" applyProtection="1">
      <alignment horizontal="center"/>
      <protection/>
    </xf>
    <xf numFmtId="164" fontId="0" fillId="0" borderId="7" xfId="0" applyNumberFormat="1" applyFill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4" borderId="0" xfId="0" applyFill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0" fillId="0" borderId="5" xfId="0" applyBorder="1" applyAlignment="1" applyProtection="1">
      <alignment horizontal="center"/>
      <protection/>
    </xf>
    <xf numFmtId="169" fontId="0" fillId="0" borderId="13" xfId="0" applyNumberFormat="1" applyBorder="1" applyAlignment="1" applyProtection="1">
      <alignment horizontal="center"/>
      <protection/>
    </xf>
    <xf numFmtId="169" fontId="0" fillId="0" borderId="0" xfId="0" applyNumberFormat="1" applyBorder="1" applyAlignment="1" applyProtection="1">
      <alignment horizontal="center"/>
      <protection/>
    </xf>
    <xf numFmtId="169" fontId="0" fillId="0" borderId="6" xfId="0" applyNumberFormat="1" applyBorder="1" applyAlignment="1" applyProtection="1">
      <alignment horizontal="center"/>
      <protection/>
    </xf>
    <xf numFmtId="3" fontId="0" fillId="0" borderId="13" xfId="0" applyNumberFormat="1" applyBorder="1" applyAlignment="1" applyProtection="1">
      <alignment horizontal="center"/>
      <protection/>
    </xf>
    <xf numFmtId="3" fontId="0" fillId="0" borderId="0" xfId="0" applyNumberFormat="1" applyBorder="1" applyAlignment="1" applyProtection="1">
      <alignment horizontal="center"/>
      <protection/>
    </xf>
    <xf numFmtId="3" fontId="0" fillId="0" borderId="6" xfId="0" applyNumberForma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178" fontId="0" fillId="0" borderId="13" xfId="0" applyNumberFormat="1" applyBorder="1" applyAlignment="1" applyProtection="1">
      <alignment horizontal="center"/>
      <protection/>
    </xf>
    <xf numFmtId="0" fontId="0" fillId="0" borderId="6" xfId="0" applyBorder="1" applyAlignment="1" applyProtection="1">
      <alignment horizontal="center"/>
      <protection/>
    </xf>
    <xf numFmtId="188" fontId="0" fillId="0" borderId="0" xfId="0" applyNumberFormat="1" applyAlignment="1" applyProtection="1">
      <alignment horizontal="center"/>
      <protection/>
    </xf>
    <xf numFmtId="0" fontId="0" fillId="2" borderId="6" xfId="0" applyFill="1" applyBorder="1" applyAlignment="1" applyProtection="1">
      <alignment horizontal="center"/>
      <protection/>
    </xf>
    <xf numFmtId="0" fontId="0" fillId="0" borderId="0" xfId="0" applyNumberFormat="1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8" xfId="0" applyBorder="1" applyAlignment="1" applyProtection="1">
      <alignment horizontal="center"/>
      <protection/>
    </xf>
    <xf numFmtId="0" fontId="0" fillId="4" borderId="0" xfId="0" applyFill="1" applyBorder="1" applyAlignment="1" applyProtection="1">
      <alignment horizontal="left"/>
      <protection/>
    </xf>
    <xf numFmtId="0" fontId="0" fillId="4" borderId="0" xfId="0" applyFill="1" applyBorder="1" applyAlignment="1" applyProtection="1">
      <alignment horizontal="center"/>
      <protection/>
    </xf>
    <xf numFmtId="164" fontId="0" fillId="4" borderId="0" xfId="0" applyNumberFormat="1" applyFill="1" applyBorder="1" applyAlignment="1" applyProtection="1">
      <alignment/>
      <protection/>
    </xf>
    <xf numFmtId="164" fontId="0" fillId="0" borderId="0" xfId="0" applyNumberFormat="1" applyFill="1" applyBorder="1" applyAlignment="1" applyProtection="1">
      <alignment horizontal="center"/>
      <protection/>
    </xf>
    <xf numFmtId="188" fontId="0" fillId="0" borderId="0" xfId="0" applyNumberFormat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4" fillId="2" borderId="0" xfId="0" applyFont="1" applyFill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right"/>
      <protection/>
    </xf>
    <xf numFmtId="0" fontId="0" fillId="0" borderId="14" xfId="0" applyBorder="1" applyAlignment="1" applyProtection="1">
      <alignment horizontal="right"/>
      <protection/>
    </xf>
    <xf numFmtId="188" fontId="0" fillId="0" borderId="7" xfId="0" applyNumberFormat="1" applyBorder="1" applyAlignment="1" applyProtection="1">
      <alignment/>
      <protection/>
    </xf>
    <xf numFmtId="164" fontId="0" fillId="0" borderId="5" xfId="0" applyNumberFormat="1" applyFill="1" applyBorder="1" applyAlignment="1" applyProtection="1">
      <alignment/>
      <protection/>
    </xf>
    <xf numFmtId="164" fontId="0" fillId="0" borderId="6" xfId="0" applyNumberFormat="1" applyFill="1" applyBorder="1" applyAlignment="1" applyProtection="1">
      <alignment/>
      <protection/>
    </xf>
    <xf numFmtId="0" fontId="0" fillId="0" borderId="13" xfId="0" applyFill="1" applyBorder="1" applyAlignment="1" applyProtection="1">
      <alignment horizontal="center"/>
      <protection/>
    </xf>
    <xf numFmtId="178" fontId="0" fillId="0" borderId="0" xfId="0" applyNumberFormat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/>
      <protection/>
    </xf>
    <xf numFmtId="188" fontId="11" fillId="0" borderId="0" xfId="0" applyNumberFormat="1" applyFont="1" applyAlignment="1">
      <alignment/>
    </xf>
    <xf numFmtId="0" fontId="0" fillId="0" borderId="0" xfId="0" applyFont="1" applyAlignment="1" applyProtection="1">
      <alignment horizontal="center"/>
      <protection/>
    </xf>
    <xf numFmtId="0" fontId="17" fillId="0" borderId="0" xfId="0" applyFont="1" applyBorder="1" applyAlignment="1" applyProtection="1">
      <alignment horizontal="center"/>
      <protection/>
    </xf>
    <xf numFmtId="0" fontId="17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>
      <alignment/>
    </xf>
    <xf numFmtId="164" fontId="0" fillId="0" borderId="15" xfId="0" applyNumberFormat="1" applyFill="1" applyBorder="1" applyAlignment="1" applyProtection="1">
      <alignment horizontal="center"/>
      <protection locked="0"/>
    </xf>
    <xf numFmtId="167" fontId="0" fillId="0" borderId="15" xfId="0" applyNumberFormat="1" applyFill="1" applyBorder="1" applyAlignment="1" applyProtection="1">
      <alignment horizontal="center"/>
      <protection locked="0"/>
    </xf>
    <xf numFmtId="164" fontId="0" fillId="0" borderId="16" xfId="0" applyNumberFormat="1" applyFont="1" applyFill="1" applyBorder="1" applyAlignment="1" applyProtection="1">
      <alignment horizontal="center"/>
      <protection locked="0"/>
    </xf>
    <xf numFmtId="164" fontId="0" fillId="0" borderId="10" xfId="0" applyNumberFormat="1" applyFill="1" applyBorder="1" applyAlignment="1" applyProtection="1">
      <alignment horizontal="center"/>
      <protection locked="0"/>
    </xf>
    <xf numFmtId="167" fontId="0" fillId="0" borderId="10" xfId="0" applyNumberFormat="1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167" fontId="0" fillId="0" borderId="10" xfId="0" applyNumberFormat="1" applyFill="1" applyBorder="1" applyAlignment="1" applyProtection="1">
      <alignment/>
      <protection locked="0"/>
    </xf>
    <xf numFmtId="164" fontId="1" fillId="0" borderId="17" xfId="0" applyNumberFormat="1" applyFont="1" applyFill="1" applyBorder="1" applyAlignment="1" applyProtection="1">
      <alignment horizontal="center"/>
      <protection locked="0"/>
    </xf>
    <xf numFmtId="172" fontId="19" fillId="0" borderId="18" xfId="0" applyNumberFormat="1" applyFont="1" applyFill="1" applyBorder="1" applyAlignment="1" applyProtection="1">
      <alignment horizontal="center"/>
      <protection/>
    </xf>
    <xf numFmtId="164" fontId="0" fillId="0" borderId="10" xfId="0" applyNumberFormat="1" applyFont="1" applyFill="1" applyBorder="1" applyAlignment="1" applyProtection="1">
      <alignment horizontal="center"/>
      <protection locked="0"/>
    </xf>
    <xf numFmtId="2" fontId="0" fillId="0" borderId="10" xfId="0" applyNumberFormat="1" applyFill="1" applyBorder="1" applyAlignment="1" applyProtection="1">
      <alignment horizontal="center"/>
      <protection locked="0"/>
    </xf>
    <xf numFmtId="167" fontId="0" fillId="0" borderId="10" xfId="0" applyNumberFormat="1" applyFont="1" applyFill="1" applyBorder="1" applyAlignment="1" applyProtection="1">
      <alignment/>
      <protection locked="0"/>
    </xf>
    <xf numFmtId="164" fontId="1" fillId="0" borderId="17" xfId="0" applyNumberFormat="1" applyFont="1" applyFill="1" applyBorder="1" applyAlignment="1" applyProtection="1">
      <alignment/>
      <protection locked="0"/>
    </xf>
    <xf numFmtId="172" fontId="19" fillId="0" borderId="19" xfId="0" applyNumberFormat="1" applyFont="1" applyFill="1" applyBorder="1" applyAlignment="1" applyProtection="1">
      <alignment horizontal="center"/>
      <protection/>
    </xf>
    <xf numFmtId="164" fontId="0" fillId="0" borderId="20" xfId="0" applyNumberFormat="1" applyFont="1" applyFill="1" applyBorder="1" applyAlignment="1" applyProtection="1">
      <alignment horizontal="center"/>
      <protection locked="0"/>
    </xf>
    <xf numFmtId="164" fontId="0" fillId="0" borderId="20" xfId="0" applyNumberFormat="1" applyFill="1" applyBorder="1" applyAlignment="1" applyProtection="1">
      <alignment horizontal="center"/>
      <protection locked="0"/>
    </xf>
    <xf numFmtId="2" fontId="0" fillId="0" borderId="20" xfId="0" applyNumberFormat="1" applyFill="1" applyBorder="1" applyAlignment="1" applyProtection="1">
      <alignment horizontal="center"/>
      <protection locked="0"/>
    </xf>
    <xf numFmtId="167" fontId="0" fillId="0" borderId="20" xfId="0" applyNumberFormat="1" applyFill="1" applyBorder="1" applyAlignment="1" applyProtection="1">
      <alignment horizontal="center"/>
      <protection locked="0"/>
    </xf>
    <xf numFmtId="167" fontId="0" fillId="0" borderId="20" xfId="0" applyNumberFormat="1" applyFont="1" applyFill="1" applyBorder="1" applyAlignment="1" applyProtection="1">
      <alignment/>
      <protection locked="0"/>
    </xf>
    <xf numFmtId="164" fontId="1" fillId="0" borderId="21" xfId="0" applyNumberFormat="1" applyFont="1" applyFill="1" applyBorder="1" applyAlignment="1" applyProtection="1">
      <alignment/>
      <protection locked="0"/>
    </xf>
    <xf numFmtId="164" fontId="0" fillId="0" borderId="15" xfId="0" applyNumberFormat="1" applyFont="1" applyFill="1" applyBorder="1" applyAlignment="1" applyProtection="1">
      <alignment horizontal="center"/>
      <protection locked="0"/>
    </xf>
    <xf numFmtId="164" fontId="0" fillId="0" borderId="17" xfId="0" applyNumberFormat="1" applyFill="1" applyBorder="1" applyAlignment="1" applyProtection="1">
      <alignment horizontal="center"/>
      <protection locked="0"/>
    </xf>
    <xf numFmtId="164" fontId="0" fillId="0" borderId="17" xfId="0" applyNumberFormat="1" applyFill="1" applyBorder="1" applyAlignment="1" applyProtection="1">
      <alignment/>
      <protection locked="0"/>
    </xf>
    <xf numFmtId="167" fontId="0" fillId="0" borderId="20" xfId="0" applyNumberFormat="1" applyFill="1" applyBorder="1" applyAlignment="1" applyProtection="1">
      <alignment/>
      <protection locked="0"/>
    </xf>
    <xf numFmtId="164" fontId="0" fillId="0" borderId="21" xfId="0" applyNumberFormat="1" applyFill="1" applyBorder="1" applyAlignment="1" applyProtection="1">
      <alignment/>
      <protection locked="0"/>
    </xf>
    <xf numFmtId="164" fontId="0" fillId="0" borderId="16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right"/>
      <protection/>
    </xf>
    <xf numFmtId="0" fontId="21" fillId="0" borderId="0" xfId="0" applyFont="1" applyBorder="1" applyAlignment="1" quotePrefix="1">
      <alignment/>
    </xf>
    <xf numFmtId="0" fontId="5" fillId="3" borderId="22" xfId="0" applyFont="1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/>
      <protection/>
    </xf>
    <xf numFmtId="0" fontId="1" fillId="5" borderId="0" xfId="0" applyFont="1" applyFill="1" applyAlignment="1" applyProtection="1">
      <alignment/>
      <protection/>
    </xf>
    <xf numFmtId="0" fontId="0" fillId="5" borderId="0" xfId="0" applyFill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15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23" xfId="0" applyFill="1" applyBorder="1" applyAlignment="1" applyProtection="1">
      <alignment horizontal="center" vertical="center"/>
      <protection/>
    </xf>
    <xf numFmtId="172" fontId="0" fillId="0" borderId="10" xfId="0" applyNumberFormat="1" applyFont="1" applyFill="1" applyBorder="1" applyAlignment="1" applyProtection="1">
      <alignment horizontal="center" vertical="center"/>
      <protection/>
    </xf>
    <xf numFmtId="172" fontId="0" fillId="0" borderId="20" xfId="0" applyNumberFormat="1" applyFont="1" applyFill="1" applyBorder="1" applyAlignment="1" applyProtection="1">
      <alignment horizontal="center" vertical="center"/>
      <protection/>
    </xf>
    <xf numFmtId="164" fontId="4" fillId="0" borderId="0" xfId="0" applyNumberFormat="1" applyFont="1" applyFill="1" applyBorder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 horizontal="center"/>
      <protection/>
    </xf>
    <xf numFmtId="167" fontId="0" fillId="0" borderId="0" xfId="0" applyNumberFormat="1" applyFill="1" applyBorder="1" applyAlignment="1" applyProtection="1">
      <alignment horizontal="center"/>
      <protection/>
    </xf>
    <xf numFmtId="167" fontId="0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5" fillId="3" borderId="10" xfId="0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/>
    </xf>
    <xf numFmtId="0" fontId="6" fillId="3" borderId="10" xfId="0" applyFont="1" applyFill="1" applyBorder="1" applyAlignment="1" applyProtection="1">
      <alignment horizontal="center" vertical="center"/>
      <protection locked="0"/>
    </xf>
    <xf numFmtId="193" fontId="6" fillId="3" borderId="10" xfId="0" applyNumberFormat="1" applyFont="1" applyFill="1" applyBorder="1" applyAlignment="1" applyProtection="1">
      <alignment horizontal="center" vertical="center"/>
      <protection locked="0"/>
    </xf>
    <xf numFmtId="2" fontId="6" fillId="3" borderId="10" xfId="0" applyNumberFormat="1" applyFont="1" applyFill="1" applyBorder="1" applyAlignment="1" applyProtection="1">
      <alignment horizontal="center" vertical="center"/>
      <protection locked="0"/>
    </xf>
    <xf numFmtId="188" fontId="6" fillId="3" borderId="22" xfId="0" applyNumberFormat="1" applyFont="1" applyFill="1" applyBorder="1" applyAlignment="1" applyProtection="1">
      <alignment horizontal="center" vertical="center"/>
      <protection locked="0"/>
    </xf>
    <xf numFmtId="188" fontId="23" fillId="3" borderId="10" xfId="0" applyNumberFormat="1" applyFont="1" applyFill="1" applyBorder="1" applyAlignment="1" applyProtection="1">
      <alignment horizontal="center" vertical="center"/>
      <protection locked="0"/>
    </xf>
    <xf numFmtId="0" fontId="6" fillId="3" borderId="10" xfId="0" applyFont="1" applyFill="1" applyBorder="1" applyAlignment="1" applyProtection="1">
      <alignment horizontal="center"/>
      <protection locked="0"/>
    </xf>
    <xf numFmtId="1" fontId="6" fillId="0" borderId="10" xfId="0" applyNumberFormat="1" applyFont="1" applyFill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0" fontId="23" fillId="0" borderId="10" xfId="0" applyFont="1" applyBorder="1" applyAlignment="1" applyProtection="1">
      <alignment horizontal="center"/>
      <protection/>
    </xf>
    <xf numFmtId="0" fontId="6" fillId="0" borderId="0" xfId="0" applyFont="1" applyAlignment="1">
      <alignment/>
    </xf>
    <xf numFmtId="2" fontId="0" fillId="2" borderId="6" xfId="0" applyNumberFormat="1" applyFill="1" applyBorder="1" applyAlignment="1" applyProtection="1">
      <alignment horizontal="center"/>
      <protection/>
    </xf>
    <xf numFmtId="0" fontId="27" fillId="3" borderId="10" xfId="0" applyFont="1" applyFill="1" applyBorder="1" applyAlignment="1" applyProtection="1">
      <alignment horizontal="left"/>
      <protection locked="0"/>
    </xf>
    <xf numFmtId="0" fontId="0" fillId="0" borderId="24" xfId="0" applyBorder="1" applyAlignment="1">
      <alignment/>
    </xf>
    <xf numFmtId="0" fontId="6" fillId="0" borderId="10" xfId="0" applyFont="1" applyFill="1" applyBorder="1" applyAlignment="1" applyProtection="1">
      <alignment horizontal="center"/>
      <protection/>
    </xf>
    <xf numFmtId="0" fontId="6" fillId="3" borderId="10" xfId="0" applyFont="1" applyFill="1" applyBorder="1" applyAlignment="1" applyProtection="1">
      <alignment horizontal="center" wrapText="1"/>
      <protection locked="0"/>
    </xf>
    <xf numFmtId="14" fontId="6" fillId="3" borderId="10" xfId="0" applyNumberFormat="1" applyFont="1" applyFill="1" applyBorder="1" applyAlignment="1" applyProtection="1">
      <alignment horizontal="center"/>
      <protection locked="0"/>
    </xf>
    <xf numFmtId="0" fontId="6" fillId="3" borderId="10" xfId="0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7" fontId="6" fillId="3" borderId="10" xfId="17" applyNumberFormat="1" applyFont="1" applyFill="1" applyBorder="1" applyAlignment="1" applyProtection="1">
      <alignment horizontal="center"/>
      <protection locked="0"/>
    </xf>
    <xf numFmtId="0" fontId="6" fillId="0" borderId="22" xfId="0" applyFont="1" applyBorder="1" applyAlignment="1" applyProtection="1">
      <alignment horizontal="center"/>
      <protection/>
    </xf>
    <xf numFmtId="0" fontId="6" fillId="0" borderId="10" xfId="17" applyNumberFormat="1" applyFont="1" applyFill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2" fontId="12" fillId="0" borderId="10" xfId="0" applyNumberFormat="1" applyFont="1" applyBorder="1" applyAlignment="1" applyProtection="1">
      <alignment horizontal="center" vertical="center"/>
      <protection hidden="1"/>
    </xf>
    <xf numFmtId="0" fontId="19" fillId="0" borderId="10" xfId="0" applyFont="1" applyBorder="1" applyAlignment="1" applyProtection="1">
      <alignment horizontal="center" vertical="center" wrapText="1"/>
      <protection hidden="1"/>
    </xf>
    <xf numFmtId="3" fontId="6" fillId="0" borderId="10" xfId="0" applyNumberFormat="1" applyFont="1" applyBorder="1" applyAlignment="1" applyProtection="1">
      <alignment horizontal="center"/>
      <protection hidden="1"/>
    </xf>
    <xf numFmtId="0" fontId="27" fillId="3" borderId="10" xfId="0" applyFont="1" applyFill="1" applyBorder="1" applyAlignment="1" applyProtection="1">
      <alignment/>
      <protection locked="0"/>
    </xf>
    <xf numFmtId="14" fontId="0" fillId="0" borderId="0" xfId="0" applyNumberFormat="1" applyAlignment="1">
      <alignment/>
    </xf>
    <xf numFmtId="0" fontId="6" fillId="0" borderId="10" xfId="0" applyFont="1" applyBorder="1" applyAlignment="1" applyProtection="1" quotePrefix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49" fontId="0" fillId="0" borderId="0" xfId="0" applyNumberFormat="1" applyAlignment="1">
      <alignment/>
    </xf>
    <xf numFmtId="0" fontId="0" fillId="0" borderId="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3" borderId="25" xfId="0" applyFill="1" applyBorder="1" applyAlignment="1" applyProtection="1">
      <alignment horizontal="center" vertical="top" wrapText="1"/>
      <protection locked="0"/>
    </xf>
    <xf numFmtId="0" fontId="6" fillId="0" borderId="26" xfId="0" applyFont="1" applyBorder="1" applyAlignment="1">
      <alignment horizontal="center"/>
    </xf>
    <xf numFmtId="0" fontId="23" fillId="0" borderId="22" xfId="0" applyFont="1" applyBorder="1" applyAlignment="1" applyProtection="1">
      <alignment horizontal="center"/>
      <protection/>
    </xf>
    <xf numFmtId="0" fontId="23" fillId="0" borderId="26" xfId="0" applyFont="1" applyBorder="1" applyAlignment="1" applyProtection="1">
      <alignment horizontal="center"/>
      <protection/>
    </xf>
    <xf numFmtId="0" fontId="0" fillId="0" borderId="0" xfId="0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/>
    </xf>
    <xf numFmtId="2" fontId="0" fillId="0" borderId="0" xfId="0" applyNumberFormat="1" applyBorder="1" applyAlignment="1" applyProtection="1">
      <alignment horizontal="center" vertical="center"/>
      <protection/>
    </xf>
    <xf numFmtId="2" fontId="0" fillId="0" borderId="0" xfId="0" applyNumberForma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7" xfId="0" applyBorder="1" applyAlignment="1">
      <alignment/>
    </xf>
    <xf numFmtId="2" fontId="8" fillId="0" borderId="10" xfId="0" applyNumberFormat="1" applyFont="1" applyBorder="1" applyAlignment="1" applyProtection="1">
      <alignment horizontal="center" vertical="center"/>
      <protection hidden="1"/>
    </xf>
    <xf numFmtId="2" fontId="8" fillId="0" borderId="10" xfId="0" applyNumberFormat="1" applyFont="1" applyBorder="1" applyAlignment="1" applyProtection="1">
      <alignment horizontal="center" vertical="center"/>
      <protection hidden="1"/>
    </xf>
    <xf numFmtId="178" fontId="5" fillId="0" borderId="10" xfId="0" applyNumberFormat="1" applyFont="1" applyBorder="1" applyAlignment="1" applyProtection="1">
      <alignment horizontal="center" vertical="center"/>
      <protection hidden="1"/>
    </xf>
    <xf numFmtId="2" fontId="5" fillId="0" borderId="10" xfId="0" applyNumberFormat="1" applyFont="1" applyBorder="1" applyAlignment="1" applyProtection="1">
      <alignment horizontal="center" vertical="center"/>
      <protection hidden="1"/>
    </xf>
    <xf numFmtId="178" fontId="1" fillId="0" borderId="10" xfId="0" applyNumberFormat="1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0" fillId="3" borderId="27" xfId="0" applyFill="1" applyBorder="1" applyAlignment="1" applyProtection="1">
      <alignment horizontal="center" vertical="top" wrapText="1"/>
      <protection locked="0"/>
    </xf>
    <xf numFmtId="0" fontId="0" fillId="3" borderId="0" xfId="0" applyFill="1" applyBorder="1" applyAlignment="1" applyProtection="1">
      <alignment horizontal="center" vertical="top" wrapText="1"/>
      <protection locked="0"/>
    </xf>
    <xf numFmtId="0" fontId="0" fillId="3" borderId="28" xfId="0" applyFill="1" applyBorder="1" applyAlignment="1" applyProtection="1">
      <alignment horizontal="center" vertical="top" wrapText="1"/>
      <protection locked="0"/>
    </xf>
    <xf numFmtId="0" fontId="26" fillId="3" borderId="1" xfId="0" applyFont="1" applyFill="1" applyBorder="1" applyAlignment="1" applyProtection="1">
      <alignment horizontal="center"/>
      <protection locked="0"/>
    </xf>
    <xf numFmtId="0" fontId="26" fillId="3" borderId="2" xfId="0" applyFont="1" applyFill="1" applyBorder="1" applyAlignment="1" applyProtection="1">
      <alignment horizontal="center"/>
      <protection locked="0"/>
    </xf>
    <xf numFmtId="0" fontId="26" fillId="3" borderId="3" xfId="0" applyFont="1" applyFill="1" applyBorder="1" applyAlignment="1" applyProtection="1">
      <alignment horizontal="center"/>
      <protection locked="0"/>
    </xf>
    <xf numFmtId="0" fontId="23" fillId="3" borderId="22" xfId="0" applyFont="1" applyFill="1" applyBorder="1" applyAlignment="1" applyProtection="1">
      <alignment horizontal="center"/>
      <protection locked="0"/>
    </xf>
    <xf numFmtId="0" fontId="23" fillId="3" borderId="9" xfId="0" applyFont="1" applyFill="1" applyBorder="1" applyAlignment="1" applyProtection="1">
      <alignment horizontal="center"/>
      <protection locked="0"/>
    </xf>
    <xf numFmtId="0" fontId="23" fillId="3" borderId="26" xfId="0" applyFont="1" applyFill="1" applyBorder="1" applyAlignment="1" applyProtection="1">
      <alignment horizontal="center"/>
      <protection locked="0"/>
    </xf>
    <xf numFmtId="0" fontId="6" fillId="0" borderId="22" xfId="0" applyFont="1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27" fillId="0" borderId="0" xfId="0" applyFont="1" applyFill="1" applyBorder="1" applyAlignment="1" applyProtection="1">
      <alignment horizontal="right"/>
      <protection/>
    </xf>
    <xf numFmtId="0" fontId="23" fillId="0" borderId="0" xfId="0" applyFont="1" applyAlignment="1" applyProtection="1">
      <alignment horizontal="right"/>
      <protection/>
    </xf>
    <xf numFmtId="0" fontId="23" fillId="0" borderId="28" xfId="0" applyFont="1" applyBorder="1" applyAlignment="1" applyProtection="1">
      <alignment horizontal="right"/>
      <protection/>
    </xf>
    <xf numFmtId="0" fontId="27" fillId="0" borderId="27" xfId="0" applyFont="1" applyBorder="1" applyAlignment="1" applyProtection="1">
      <alignment horizontal="right"/>
      <protection/>
    </xf>
    <xf numFmtId="0" fontId="27" fillId="0" borderId="0" xfId="0" applyFont="1" applyAlignment="1" applyProtection="1">
      <alignment horizontal="right"/>
      <protection/>
    </xf>
    <xf numFmtId="0" fontId="27" fillId="0" borderId="28" xfId="0" applyFont="1" applyBorder="1" applyAlignment="1" applyProtection="1">
      <alignment horizontal="right"/>
      <protection/>
    </xf>
    <xf numFmtId="0" fontId="0" fillId="0" borderId="10" xfId="0" applyFont="1" applyBorder="1" applyAlignment="1" applyProtection="1">
      <alignment horizontal="center"/>
      <protection/>
    </xf>
    <xf numFmtId="0" fontId="6" fillId="0" borderId="22" xfId="0" applyFont="1" applyBorder="1" applyAlignment="1">
      <alignment horizontal="center"/>
    </xf>
    <xf numFmtId="0" fontId="0" fillId="3" borderId="24" xfId="0" applyFill="1" applyBorder="1" applyAlignment="1" applyProtection="1">
      <alignment horizontal="center" vertical="top" wrapText="1"/>
      <protection locked="0"/>
    </xf>
    <xf numFmtId="0" fontId="0" fillId="3" borderId="29" xfId="0" applyFill="1" applyBorder="1" applyAlignment="1" applyProtection="1">
      <alignment horizontal="center" vertical="top" wrapText="1"/>
      <protection locked="0"/>
    </xf>
    <xf numFmtId="0" fontId="1" fillId="0" borderId="30" xfId="0" applyFont="1" applyBorder="1" applyAlignment="1" applyProtection="1">
      <alignment horizontal="center" vertical="center"/>
      <protection hidden="1"/>
    </xf>
    <xf numFmtId="0" fontId="1" fillId="0" borderId="23" xfId="0" applyFont="1" applyBorder="1" applyAlignment="1" applyProtection="1">
      <alignment horizontal="center" vertical="center"/>
      <protection hidden="1"/>
    </xf>
    <xf numFmtId="0" fontId="1" fillId="3" borderId="30" xfId="0" applyFont="1" applyFill="1" applyBorder="1" applyAlignment="1" applyProtection="1">
      <alignment horizontal="center" vertical="center"/>
      <protection locked="0"/>
    </xf>
    <xf numFmtId="0" fontId="1" fillId="3" borderId="23" xfId="0" applyFont="1" applyFill="1" applyBorder="1" applyAlignment="1" applyProtection="1">
      <alignment horizontal="center" vertical="center"/>
      <protection locked="0"/>
    </xf>
    <xf numFmtId="0" fontId="6" fillId="3" borderId="10" xfId="0" applyFont="1" applyFill="1" applyBorder="1" applyAlignment="1" applyProtection="1">
      <alignment horizontal="center"/>
      <protection locked="0"/>
    </xf>
    <xf numFmtId="0" fontId="26" fillId="3" borderId="10" xfId="0" applyFont="1" applyFill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0" fontId="5" fillId="3" borderId="22" xfId="0" applyFont="1" applyFill="1" applyBorder="1" applyAlignment="1" applyProtection="1">
      <alignment horizontal="center"/>
      <protection locked="0"/>
    </xf>
    <xf numFmtId="0" fontId="5" fillId="3" borderId="26" xfId="0" applyFont="1" applyFill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/>
    </xf>
    <xf numFmtId="0" fontId="6" fillId="3" borderId="10" xfId="0" applyNumberFormat="1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/>
    </xf>
    <xf numFmtId="0" fontId="0" fillId="0" borderId="22" xfId="0" applyFont="1" applyBorder="1" applyAlignment="1" applyProtection="1">
      <alignment horizontal="center"/>
      <protection/>
    </xf>
    <xf numFmtId="0" fontId="0" fillId="0" borderId="26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27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 horizontal="right"/>
    </xf>
    <xf numFmtId="0" fontId="13" fillId="0" borderId="0" xfId="0" applyFont="1" applyBorder="1" applyAlignment="1" applyProtection="1">
      <alignment horizontal="center" vertical="top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4" fillId="0" borderId="0" xfId="0" applyFont="1" applyBorder="1" applyAlignment="1" applyProtection="1">
      <alignment horizontal="center" vertical="top"/>
      <protection/>
    </xf>
    <xf numFmtId="0" fontId="16" fillId="0" borderId="0" xfId="0" applyFont="1" applyAlignment="1" applyProtection="1">
      <alignment horizontal="right" vertical="top"/>
      <protection/>
    </xf>
    <xf numFmtId="0" fontId="1" fillId="0" borderId="0" xfId="0" applyFont="1" applyBorder="1" applyAlignment="1" applyProtection="1">
      <alignment horizontal="right"/>
      <protection/>
    </xf>
    <xf numFmtId="0" fontId="0" fillId="0" borderId="24" xfId="0" applyFont="1" applyBorder="1" applyAlignment="1" applyProtection="1">
      <alignment horizontal="center"/>
      <protection/>
    </xf>
    <xf numFmtId="14" fontId="1" fillId="0" borderId="0" xfId="0" applyNumberFormat="1" applyFont="1" applyFill="1" applyBorder="1" applyAlignment="1" applyProtection="1">
      <alignment horizontal="center"/>
      <protection/>
    </xf>
    <xf numFmtId="0" fontId="0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ont="1" applyFill="1" applyBorder="1" applyAlignment="1" applyProtection="1">
      <alignment horizontal="center"/>
      <protection locked="0"/>
    </xf>
    <xf numFmtId="0" fontId="0" fillId="0" borderId="9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0" fontId="0" fillId="0" borderId="24" xfId="0" applyFont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right"/>
      <protection/>
    </xf>
    <xf numFmtId="1" fontId="4" fillId="0" borderId="9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Fill="1" applyBorder="1" applyAlignment="1" applyProtection="1">
      <alignment horizontal="center"/>
      <protection/>
    </xf>
    <xf numFmtId="14" fontId="0" fillId="0" borderId="9" xfId="0" applyNumberFormat="1" applyFont="1" applyFill="1" applyBorder="1" applyAlignment="1" applyProtection="1">
      <alignment horizontal="center"/>
      <protection/>
    </xf>
    <xf numFmtId="0" fontId="0" fillId="0" borderId="9" xfId="0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0" fillId="0" borderId="9" xfId="0" applyNumberFormat="1" applyFont="1" applyFill="1" applyBorder="1" applyAlignment="1" applyProtection="1">
      <alignment horizontal="center"/>
      <protection/>
    </xf>
    <xf numFmtId="0" fontId="0" fillId="0" borderId="31" xfId="0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center" vertical="center"/>
      <protection/>
    </xf>
    <xf numFmtId="164" fontId="0" fillId="0" borderId="0" xfId="0" applyNumberFormat="1" applyFill="1" applyBorder="1" applyAlignment="1" applyProtection="1">
      <alignment horizontal="right"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24" xfId="0" applyFill="1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555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AL188"/>
  <sheetViews>
    <sheetView showGridLines="0" tabSelected="1" zoomScale="75" zoomScaleNormal="75" workbookViewId="0" topLeftCell="A1">
      <selection activeCell="E5" sqref="E5:G5"/>
    </sheetView>
  </sheetViews>
  <sheetFormatPr defaultColWidth="9.140625" defaultRowHeight="12.75"/>
  <cols>
    <col min="1" max="1" width="1.421875" style="0" customWidth="1"/>
    <col min="2" max="2" width="7.8515625" style="0" customWidth="1"/>
    <col min="3" max="3" width="10.57421875" style="0" customWidth="1"/>
    <col min="4" max="4" width="29.140625" style="0" customWidth="1"/>
    <col min="5" max="5" width="22.00390625" style="0" customWidth="1"/>
    <col min="6" max="6" width="19.7109375" style="0" customWidth="1"/>
    <col min="7" max="7" width="12.57421875" style="0" customWidth="1"/>
    <col min="8" max="8" width="10.57421875" style="0" customWidth="1"/>
    <col min="9" max="9" width="11.7109375" style="0" customWidth="1"/>
    <col min="10" max="10" width="14.7109375" style="0" customWidth="1"/>
    <col min="11" max="11" width="15.421875" style="0" customWidth="1"/>
    <col min="12" max="12" width="14.00390625" style="0" customWidth="1"/>
    <col min="13" max="13" width="14.7109375" style="0" customWidth="1"/>
    <col min="14" max="14" width="15.421875" style="0" customWidth="1"/>
    <col min="15" max="15" width="11.7109375" style="0" hidden="1" customWidth="1"/>
    <col min="16" max="16" width="18.00390625" style="0" hidden="1" customWidth="1"/>
    <col min="17" max="17" width="11.00390625" style="0" hidden="1" customWidth="1"/>
    <col min="18" max="18" width="24.00390625" style="0" hidden="1" customWidth="1"/>
    <col min="19" max="21" width="11.00390625" style="0" hidden="1" customWidth="1"/>
    <col min="22" max="22" width="15.421875" style="0" hidden="1" customWidth="1"/>
    <col min="23" max="23" width="14.57421875" style="7" hidden="1" customWidth="1"/>
    <col min="24" max="24" width="14.00390625" style="0" hidden="1" customWidth="1"/>
    <col min="25" max="25" width="13.140625" style="0" hidden="1" customWidth="1"/>
    <col min="26" max="26" width="10.00390625" style="0" hidden="1" customWidth="1"/>
    <col min="27" max="27" width="14.421875" style="7" hidden="1" customWidth="1"/>
    <col min="28" max="28" width="20.28125" style="7" hidden="1" customWidth="1"/>
    <col min="29" max="29" width="8.140625" style="0" hidden="1" customWidth="1"/>
    <col min="30" max="30" width="0" style="0" hidden="1" customWidth="1"/>
    <col min="31" max="31" width="10.8515625" style="0" hidden="1" customWidth="1"/>
    <col min="32" max="32" width="8.8515625" style="0" hidden="1" customWidth="1"/>
    <col min="33" max="33" width="11.421875" style="0" hidden="1" customWidth="1"/>
    <col min="34" max="34" width="12.57421875" style="0" hidden="1" customWidth="1"/>
    <col min="35" max="35" width="10.7109375" style="0" hidden="1" customWidth="1"/>
    <col min="36" max="36" width="11.57421875" style="7" hidden="1" customWidth="1"/>
    <col min="37" max="37" width="12.28125" style="0" hidden="1" customWidth="1"/>
    <col min="38" max="39" width="12.7109375" style="0" hidden="1" customWidth="1"/>
    <col min="40" max="40" width="12.7109375" style="7" customWidth="1"/>
    <col min="41" max="41" width="12.7109375" style="0" customWidth="1"/>
    <col min="42" max="42" width="9.28125" style="0" customWidth="1"/>
    <col min="43" max="43" width="8.421875" style="0" customWidth="1"/>
    <col min="44" max="44" width="15.00390625" style="0" customWidth="1"/>
    <col min="45" max="45" width="8.57421875" style="0" customWidth="1"/>
    <col min="47" max="47" width="11.7109375" style="0" customWidth="1"/>
    <col min="48" max="48" width="9.57421875" style="0" customWidth="1"/>
  </cols>
  <sheetData>
    <row r="1" spans="1:34" ht="27" customHeight="1">
      <c r="A1" s="22"/>
      <c r="B1" s="22"/>
      <c r="C1" s="22"/>
      <c r="D1" s="22"/>
      <c r="E1" s="22"/>
      <c r="F1" s="248" t="s">
        <v>320</v>
      </c>
      <c r="G1" s="248"/>
      <c r="H1" s="248"/>
      <c r="I1" s="248"/>
      <c r="J1" s="248"/>
      <c r="K1" s="248"/>
      <c r="L1" s="248"/>
      <c r="M1" s="22"/>
      <c r="N1" s="22"/>
      <c r="O1" s="22"/>
      <c r="P1" s="22"/>
      <c r="Q1" s="4"/>
      <c r="AH1" t="s">
        <v>333</v>
      </c>
    </row>
    <row r="2" spans="1:38" ht="22.5" customHeight="1">
      <c r="A2" s="22"/>
      <c r="B2" s="22"/>
      <c r="C2" s="22"/>
      <c r="D2" s="22"/>
      <c r="E2" s="141"/>
      <c r="F2" s="249" t="str">
        <f>IF(L8="Yes","with Longitudinal Joint Density","")</f>
        <v>with Longitudinal Joint Density</v>
      </c>
      <c r="G2" s="249"/>
      <c r="H2" s="249"/>
      <c r="I2" s="249"/>
      <c r="J2" s="249"/>
      <c r="K2" s="249"/>
      <c r="L2" s="249"/>
      <c r="M2" s="23"/>
      <c r="N2" s="22"/>
      <c r="O2" s="23"/>
      <c r="P2" s="23"/>
      <c r="Q2" s="4"/>
      <c r="W2" s="103" t="s">
        <v>59</v>
      </c>
      <c r="Z2" t="s">
        <v>224</v>
      </c>
      <c r="AA2"/>
      <c r="AC2" s="7"/>
      <c r="AE2" t="s">
        <v>221</v>
      </c>
      <c r="AF2" t="s">
        <v>226</v>
      </c>
      <c r="AG2" t="s">
        <v>319</v>
      </c>
      <c r="AH2" t="s">
        <v>334</v>
      </c>
      <c r="AL2" t="s">
        <v>354</v>
      </c>
    </row>
    <row r="3" spans="1:38" ht="12.75" customHeight="1">
      <c r="A3" s="22"/>
      <c r="B3" s="22"/>
      <c r="C3" s="24"/>
      <c r="D3" s="25">
        <v>39973</v>
      </c>
      <c r="E3" s="25"/>
      <c r="F3" s="22"/>
      <c r="G3" s="22"/>
      <c r="H3" s="22"/>
      <c r="I3" s="22"/>
      <c r="J3" s="22"/>
      <c r="K3" s="22"/>
      <c r="L3" s="22"/>
      <c r="M3" s="22"/>
      <c r="N3" s="22"/>
      <c r="O3" s="23"/>
      <c r="P3" s="23"/>
      <c r="Q3" s="4"/>
      <c r="W3" s="7" t="s">
        <v>60</v>
      </c>
      <c r="X3" t="s">
        <v>61</v>
      </c>
      <c r="Y3" t="s">
        <v>62</v>
      </c>
      <c r="Z3" t="s">
        <v>172</v>
      </c>
      <c r="AA3" t="s">
        <v>58</v>
      </c>
      <c r="AB3" t="s">
        <v>2</v>
      </c>
      <c r="AC3" t="s">
        <v>3</v>
      </c>
      <c r="AD3" t="s">
        <v>16</v>
      </c>
      <c r="AE3" t="s">
        <v>222</v>
      </c>
      <c r="AF3" t="s">
        <v>9</v>
      </c>
      <c r="AG3" t="s">
        <v>226</v>
      </c>
      <c r="AH3" t="s">
        <v>335</v>
      </c>
      <c r="AI3" t="s">
        <v>321</v>
      </c>
      <c r="AJ3" t="s">
        <v>16</v>
      </c>
      <c r="AK3" t="s">
        <v>12</v>
      </c>
      <c r="AL3" t="s">
        <v>355</v>
      </c>
    </row>
    <row r="4" spans="1:36" ht="12.75" customHeight="1">
      <c r="A4" s="22"/>
      <c r="B4" s="22"/>
      <c r="C4" s="24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3"/>
      <c r="P4" s="23"/>
      <c r="Q4" s="4"/>
      <c r="W4" s="7" t="s">
        <v>47</v>
      </c>
      <c r="X4" t="s">
        <v>50</v>
      </c>
      <c r="Y4" t="s">
        <v>55</v>
      </c>
      <c r="AB4">
        <v>0.1</v>
      </c>
      <c r="AC4">
        <v>0</v>
      </c>
      <c r="AD4">
        <f aca="true" t="shared" si="0" ref="AD4:AD13">IF(E10&lt;F10,1,IF(E10=F10,0,IF(E10&gt;F10,-1,"NOT")))</f>
        <v>1</v>
      </c>
      <c r="AE4" t="s">
        <v>382</v>
      </c>
      <c r="AF4" t="s">
        <v>150</v>
      </c>
      <c r="AI4" t="s">
        <v>322</v>
      </c>
      <c r="AJ4"/>
    </row>
    <row r="5" spans="1:38" ht="15.75" customHeight="1">
      <c r="A5" s="22"/>
      <c r="B5" s="22"/>
      <c r="C5" s="22"/>
      <c r="D5" s="139" t="s">
        <v>47</v>
      </c>
      <c r="E5" s="213"/>
      <c r="F5" s="214"/>
      <c r="G5" s="215"/>
      <c r="H5" s="240" t="s">
        <v>50</v>
      </c>
      <c r="I5" s="241"/>
      <c r="J5" s="237"/>
      <c r="K5" s="237"/>
      <c r="L5" s="26" t="s">
        <v>10</v>
      </c>
      <c r="M5" s="236"/>
      <c r="N5" s="236"/>
      <c r="O5" s="23"/>
      <c r="P5" s="23"/>
      <c r="W5" s="7" t="s">
        <v>48</v>
      </c>
      <c r="X5" t="s">
        <v>51</v>
      </c>
      <c r="Y5" t="s">
        <v>56</v>
      </c>
      <c r="Z5">
        <v>1</v>
      </c>
      <c r="AA5" t="s">
        <v>63</v>
      </c>
      <c r="AB5">
        <v>1</v>
      </c>
      <c r="AC5">
        <v>1</v>
      </c>
      <c r="AD5">
        <f t="shared" si="0"/>
        <v>0</v>
      </c>
      <c r="AE5" t="s">
        <v>383</v>
      </c>
      <c r="AG5" t="s">
        <v>271</v>
      </c>
      <c r="AH5" t="s">
        <v>339</v>
      </c>
      <c r="AI5" t="s">
        <v>185</v>
      </c>
      <c r="AJ5" t="s">
        <v>328</v>
      </c>
      <c r="AK5" t="s">
        <v>363</v>
      </c>
      <c r="AL5" s="169" t="s">
        <v>56</v>
      </c>
    </row>
    <row r="6" spans="1:38" ht="15.75" customHeight="1">
      <c r="A6" s="22"/>
      <c r="B6" s="22"/>
      <c r="C6" s="22"/>
      <c r="D6" s="180" t="s">
        <v>0</v>
      </c>
      <c r="E6" s="216"/>
      <c r="F6" s="217"/>
      <c r="G6" s="218"/>
      <c r="H6" s="238" t="s">
        <v>13</v>
      </c>
      <c r="I6" s="239"/>
      <c r="J6" s="244"/>
      <c r="K6" s="244"/>
      <c r="L6" s="244"/>
      <c r="M6" s="29"/>
      <c r="N6" s="22"/>
      <c r="O6" s="23"/>
      <c r="P6" s="23"/>
      <c r="W6" s="7" t="s">
        <v>49</v>
      </c>
      <c r="X6" t="s">
        <v>52</v>
      </c>
      <c r="Z6">
        <v>2</v>
      </c>
      <c r="AA6" t="s">
        <v>64</v>
      </c>
      <c r="AB6">
        <v>601</v>
      </c>
      <c r="AC6">
        <v>2</v>
      </c>
      <c r="AD6">
        <f t="shared" si="0"/>
        <v>0</v>
      </c>
      <c r="AE6" t="s">
        <v>56</v>
      </c>
      <c r="AF6" t="s">
        <v>227</v>
      </c>
      <c r="AG6" t="s">
        <v>272</v>
      </c>
      <c r="AH6" t="s">
        <v>340</v>
      </c>
      <c r="AI6" t="s">
        <v>323</v>
      </c>
      <c r="AJ6" t="s">
        <v>329</v>
      </c>
      <c r="AK6" t="s">
        <v>343</v>
      </c>
      <c r="AL6" s="169" t="s">
        <v>55</v>
      </c>
    </row>
    <row r="7" spans="1:37" ht="15.75" customHeight="1">
      <c r="A7" s="22"/>
      <c r="B7" s="22"/>
      <c r="C7" s="22"/>
      <c r="D7" s="28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Z7">
        <v>3</v>
      </c>
      <c r="AA7" t="s">
        <v>65</v>
      </c>
      <c r="AB7">
        <v>1001</v>
      </c>
      <c r="AC7">
        <v>3</v>
      </c>
      <c r="AD7">
        <f t="shared" si="0"/>
        <v>0</v>
      </c>
      <c r="AF7" t="s">
        <v>228</v>
      </c>
      <c r="AG7" t="s">
        <v>273</v>
      </c>
      <c r="AH7" t="s">
        <v>341</v>
      </c>
      <c r="AI7" t="s">
        <v>324</v>
      </c>
      <c r="AJ7" t="s">
        <v>330</v>
      </c>
      <c r="AK7" t="s">
        <v>344</v>
      </c>
    </row>
    <row r="8" spans="1:37" ht="15.75" customHeight="1">
      <c r="A8" s="22"/>
      <c r="B8" s="159" t="s">
        <v>321</v>
      </c>
      <c r="C8" s="159" t="s">
        <v>16</v>
      </c>
      <c r="D8" s="30" t="s">
        <v>12</v>
      </c>
      <c r="E8" s="30" t="s">
        <v>53</v>
      </c>
      <c r="F8" s="30" t="s">
        <v>54</v>
      </c>
      <c r="G8" s="30" t="s">
        <v>40</v>
      </c>
      <c r="H8" s="23"/>
      <c r="I8" s="222" t="s">
        <v>57</v>
      </c>
      <c r="J8" s="223"/>
      <c r="K8" s="224"/>
      <c r="L8" s="171" t="s">
        <v>55</v>
      </c>
      <c r="M8" s="173" t="s">
        <v>6</v>
      </c>
      <c r="N8" s="175"/>
      <c r="O8" s="23"/>
      <c r="P8" s="23"/>
      <c r="Z8">
        <v>4</v>
      </c>
      <c r="AA8" t="s">
        <v>66</v>
      </c>
      <c r="AB8">
        <v>1601</v>
      </c>
      <c r="AC8">
        <v>4</v>
      </c>
      <c r="AD8">
        <f t="shared" si="0"/>
        <v>0</v>
      </c>
      <c r="AG8" t="s">
        <v>274</v>
      </c>
      <c r="AH8" t="s">
        <v>342</v>
      </c>
      <c r="AI8" t="s">
        <v>325</v>
      </c>
      <c r="AJ8" t="s">
        <v>331</v>
      </c>
      <c r="AK8" t="s">
        <v>345</v>
      </c>
    </row>
    <row r="9" spans="1:37" ht="15.75" customHeight="1">
      <c r="A9" s="22"/>
      <c r="B9" s="22"/>
      <c r="C9" s="22"/>
      <c r="D9" s="23"/>
      <c r="E9" s="31" t="s">
        <v>44</v>
      </c>
      <c r="F9" s="31" t="s">
        <v>44</v>
      </c>
      <c r="G9" s="31" t="s">
        <v>44</v>
      </c>
      <c r="H9" s="23"/>
      <c r="I9" s="250" t="s">
        <v>356</v>
      </c>
      <c r="J9" s="251"/>
      <c r="K9" s="251"/>
      <c r="L9" s="187" t="s">
        <v>56</v>
      </c>
      <c r="M9" s="173" t="s">
        <v>11</v>
      </c>
      <c r="N9" s="176"/>
      <c r="O9" s="23"/>
      <c r="P9" s="23"/>
      <c r="Z9">
        <v>5</v>
      </c>
      <c r="AA9" t="s">
        <v>67</v>
      </c>
      <c r="AB9">
        <v>3601</v>
      </c>
      <c r="AC9">
        <v>5</v>
      </c>
      <c r="AD9">
        <f t="shared" si="0"/>
        <v>0</v>
      </c>
      <c r="AG9" t="s">
        <v>275</v>
      </c>
      <c r="AH9" t="s">
        <v>338</v>
      </c>
      <c r="AI9" t="s">
        <v>326</v>
      </c>
      <c r="AJ9"/>
      <c r="AK9" t="s">
        <v>346</v>
      </c>
    </row>
    <row r="10" spans="1:37" ht="15.75" customHeight="1">
      <c r="A10" s="22"/>
      <c r="B10" s="176"/>
      <c r="C10" s="176"/>
      <c r="D10" s="160"/>
      <c r="E10" s="161">
        <v>1</v>
      </c>
      <c r="F10" s="164">
        <v>10</v>
      </c>
      <c r="G10" s="162">
        <v>10</v>
      </c>
      <c r="H10" s="23"/>
      <c r="I10" s="172"/>
      <c r="J10" s="172"/>
      <c r="K10" s="172"/>
      <c r="L10" s="23"/>
      <c r="M10" s="173" t="s">
        <v>14</v>
      </c>
      <c r="N10" s="175"/>
      <c r="O10" s="23"/>
      <c r="P10" s="23"/>
      <c r="Z10">
        <v>6</v>
      </c>
      <c r="AA10" t="s">
        <v>68</v>
      </c>
      <c r="AB10">
        <v>5001</v>
      </c>
      <c r="AC10">
        <v>6</v>
      </c>
      <c r="AD10">
        <f t="shared" si="0"/>
        <v>0</v>
      </c>
      <c r="AG10" t="s">
        <v>276</v>
      </c>
      <c r="AH10" t="s">
        <v>336</v>
      </c>
      <c r="AI10" t="s">
        <v>327</v>
      </c>
      <c r="AJ10"/>
      <c r="AK10" t="s">
        <v>347</v>
      </c>
    </row>
    <row r="11" spans="1:37" ht="15.75" customHeight="1">
      <c r="A11" s="22"/>
      <c r="B11" s="176"/>
      <c r="C11" s="176"/>
      <c r="D11" s="160"/>
      <c r="E11" s="163"/>
      <c r="F11" s="164"/>
      <c r="G11" s="162"/>
      <c r="H11" s="23"/>
      <c r="I11" s="228" t="s">
        <v>270</v>
      </c>
      <c r="J11" s="228"/>
      <c r="K11" s="165">
        <v>100</v>
      </c>
      <c r="L11" s="23"/>
      <c r="M11" s="177"/>
      <c r="N11" s="178"/>
      <c r="O11" s="23"/>
      <c r="P11" s="23"/>
      <c r="Z11">
        <v>7</v>
      </c>
      <c r="AA11" t="s">
        <v>69</v>
      </c>
      <c r="AC11" s="7"/>
      <c r="AD11">
        <f t="shared" si="0"/>
        <v>0</v>
      </c>
      <c r="AG11" t="s">
        <v>277</v>
      </c>
      <c r="AH11" t="s">
        <v>337</v>
      </c>
      <c r="AK11" t="s">
        <v>348</v>
      </c>
    </row>
    <row r="12" spans="1:37" ht="15.75" customHeight="1">
      <c r="A12" s="22"/>
      <c r="B12" s="176"/>
      <c r="C12" s="176"/>
      <c r="D12" s="160"/>
      <c r="E12" s="163"/>
      <c r="F12" s="164"/>
      <c r="G12" s="162"/>
      <c r="H12" s="23"/>
      <c r="I12" s="246" t="s">
        <v>20</v>
      </c>
      <c r="J12" s="247"/>
      <c r="K12" s="166">
        <f>K11/K14</f>
        <v>100</v>
      </c>
      <c r="L12" s="23"/>
      <c r="M12" s="173" t="s">
        <v>37</v>
      </c>
      <c r="N12" s="176"/>
      <c r="O12" s="23"/>
      <c r="P12" s="23"/>
      <c r="Z12">
        <v>8</v>
      </c>
      <c r="AA12" t="s">
        <v>70</v>
      </c>
      <c r="AC12" s="7"/>
      <c r="AD12">
        <f t="shared" si="0"/>
        <v>0</v>
      </c>
      <c r="AG12" t="s">
        <v>278</v>
      </c>
      <c r="AK12" t="s">
        <v>349</v>
      </c>
    </row>
    <row r="13" spans="1:37" ht="15.75" customHeight="1">
      <c r="A13" s="22"/>
      <c r="B13" s="176"/>
      <c r="C13" s="176"/>
      <c r="D13" s="160"/>
      <c r="E13" s="163"/>
      <c r="F13" s="164"/>
      <c r="G13" s="162"/>
      <c r="H13" s="23"/>
      <c r="I13" s="242" t="s">
        <v>230</v>
      </c>
      <c r="J13" s="243"/>
      <c r="K13" s="189">
        <f>IF(((ISNUMBER(K15))=TRUE),(K15),(VLOOKUP(K11,AB5:AC10,2)))</f>
        <v>1</v>
      </c>
      <c r="L13" s="23"/>
      <c r="M13" s="173" t="s">
        <v>17</v>
      </c>
      <c r="N13" s="179"/>
      <c r="O13" s="23"/>
      <c r="P13" s="23"/>
      <c r="Z13">
        <v>9</v>
      </c>
      <c r="AA13" t="s">
        <v>71</v>
      </c>
      <c r="AC13" s="7"/>
      <c r="AD13">
        <f t="shared" si="0"/>
        <v>0</v>
      </c>
      <c r="AG13" t="s">
        <v>279</v>
      </c>
      <c r="AK13" t="s">
        <v>350</v>
      </c>
    </row>
    <row r="14" spans="1:37" ht="15.75" customHeight="1">
      <c r="A14" s="22"/>
      <c r="B14" s="176"/>
      <c r="C14" s="176"/>
      <c r="D14" s="160"/>
      <c r="E14" s="163"/>
      <c r="F14" s="164"/>
      <c r="G14" s="162"/>
      <c r="H14" s="23"/>
      <c r="I14" s="242" t="s">
        <v>19</v>
      </c>
      <c r="J14" s="243"/>
      <c r="K14" s="167">
        <f>VLOOKUP(K11,AB4:AC10,2)</f>
        <v>1</v>
      </c>
      <c r="L14" s="23"/>
      <c r="M14" s="36"/>
      <c r="N14" s="37"/>
      <c r="O14" s="23"/>
      <c r="P14" s="23"/>
      <c r="Z14">
        <v>10</v>
      </c>
      <c r="AA14" t="s">
        <v>72</v>
      </c>
      <c r="AC14" s="7"/>
      <c r="AG14" t="s">
        <v>280</v>
      </c>
      <c r="AK14" t="s">
        <v>351</v>
      </c>
    </row>
    <row r="15" spans="1:37" ht="15.75" customHeight="1">
      <c r="A15" s="22"/>
      <c r="B15" s="176"/>
      <c r="C15" s="176"/>
      <c r="D15" s="160"/>
      <c r="E15" s="163"/>
      <c r="F15" s="164"/>
      <c r="G15" s="162"/>
      <c r="H15" s="23"/>
      <c r="I15" s="242" t="s">
        <v>360</v>
      </c>
      <c r="J15" s="243"/>
      <c r="K15" s="165"/>
      <c r="L15" s="23"/>
      <c r="M15" s="36"/>
      <c r="N15" s="37"/>
      <c r="O15" s="23"/>
      <c r="P15" s="23"/>
      <c r="Q15" s="4"/>
      <c r="Z15">
        <v>11</v>
      </c>
      <c r="AA15" t="s">
        <v>73</v>
      </c>
      <c r="AC15" s="7"/>
      <c r="AG15" t="s">
        <v>281</v>
      </c>
      <c r="AK15" t="s">
        <v>352</v>
      </c>
    </row>
    <row r="16" spans="1:37" ht="15.75" customHeight="1">
      <c r="A16" s="22"/>
      <c r="B16" s="176"/>
      <c r="C16" s="176"/>
      <c r="D16" s="160"/>
      <c r="E16" s="163"/>
      <c r="F16" s="164"/>
      <c r="G16" s="162"/>
      <c r="K16" s="23"/>
      <c r="O16" s="23"/>
      <c r="P16" s="23"/>
      <c r="Q16" s="4"/>
      <c r="Z16">
        <v>12</v>
      </c>
      <c r="AA16" t="s">
        <v>74</v>
      </c>
      <c r="AC16" s="7"/>
      <c r="AG16" t="s">
        <v>282</v>
      </c>
      <c r="AK16" t="s">
        <v>353</v>
      </c>
    </row>
    <row r="17" spans="1:33" ht="15.75" customHeight="1">
      <c r="A17" s="22"/>
      <c r="B17" s="176"/>
      <c r="C17" s="176"/>
      <c r="D17" s="160"/>
      <c r="E17" s="163"/>
      <c r="F17" s="164"/>
      <c r="G17" s="162"/>
      <c r="K17" s="38"/>
      <c r="L17" s="245" t="s">
        <v>18</v>
      </c>
      <c r="M17" s="245"/>
      <c r="N17" s="181">
        <v>2360</v>
      </c>
      <c r="O17" s="23"/>
      <c r="P17" s="23"/>
      <c r="Q17" s="4"/>
      <c r="Z17">
        <v>13</v>
      </c>
      <c r="AA17" t="s">
        <v>75</v>
      </c>
      <c r="AC17" s="7"/>
      <c r="AG17" t="s">
        <v>283</v>
      </c>
    </row>
    <row r="18" spans="1:33" ht="15.75" customHeight="1">
      <c r="A18" s="22"/>
      <c r="B18" s="176"/>
      <c r="C18" s="176"/>
      <c r="D18" s="160"/>
      <c r="E18" s="163"/>
      <c r="F18" s="164"/>
      <c r="G18" s="162"/>
      <c r="H18" s="225" t="s">
        <v>220</v>
      </c>
      <c r="I18" s="226"/>
      <c r="J18" s="23"/>
      <c r="K18" s="23"/>
      <c r="L18" s="245" t="s">
        <v>1</v>
      </c>
      <c r="M18" s="245"/>
      <c r="N18" s="174"/>
      <c r="O18" s="23"/>
      <c r="P18" s="23"/>
      <c r="Q18" s="4"/>
      <c r="Z18">
        <v>14</v>
      </c>
      <c r="AA18" t="s">
        <v>76</v>
      </c>
      <c r="AC18" s="7"/>
      <c r="AG18" t="s">
        <v>284</v>
      </c>
    </row>
    <row r="19" spans="1:33" ht="15.75" customHeight="1">
      <c r="A19" s="22"/>
      <c r="B19" s="176"/>
      <c r="C19" s="176"/>
      <c r="D19" s="160"/>
      <c r="E19" s="163"/>
      <c r="F19" s="164"/>
      <c r="G19" s="162"/>
      <c r="H19" s="225" t="s">
        <v>229</v>
      </c>
      <c r="I19" s="227"/>
      <c r="J19" s="158" t="s">
        <v>383</v>
      </c>
      <c r="K19" s="23"/>
      <c r="L19" s="229" t="s">
        <v>332</v>
      </c>
      <c r="M19" s="195"/>
      <c r="N19" s="176"/>
      <c r="O19" s="23"/>
      <c r="P19" s="23"/>
      <c r="Q19" s="4"/>
      <c r="Z19">
        <v>15</v>
      </c>
      <c r="AA19" t="s">
        <v>77</v>
      </c>
      <c r="AC19" s="7"/>
      <c r="AG19" t="s">
        <v>285</v>
      </c>
    </row>
    <row r="20" spans="1:33" ht="15.75" customHeight="1">
      <c r="A20" s="22"/>
      <c r="B20" s="22"/>
      <c r="C20" s="22"/>
      <c r="D20" s="22"/>
      <c r="E20" s="22"/>
      <c r="F20" s="23"/>
      <c r="G20" s="23"/>
      <c r="H20" s="23"/>
      <c r="I20" s="23"/>
      <c r="J20" s="23"/>
      <c r="K20" s="23"/>
      <c r="L20" s="245" t="s">
        <v>358</v>
      </c>
      <c r="M20" s="245"/>
      <c r="N20" s="186">
        <f>$J$95</f>
        <v>90</v>
      </c>
      <c r="O20" s="23"/>
      <c r="Q20" s="4"/>
      <c r="Z20">
        <v>16</v>
      </c>
      <c r="AA20" t="s">
        <v>78</v>
      </c>
      <c r="AC20" s="7"/>
      <c r="AG20" t="s">
        <v>286</v>
      </c>
    </row>
    <row r="21" spans="1:33" ht="12.75" customHeight="1">
      <c r="A21" s="22"/>
      <c r="B21" s="23"/>
      <c r="C21" s="23"/>
      <c r="D21" s="23"/>
      <c r="E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5"/>
      <c r="Z21">
        <v>17</v>
      </c>
      <c r="AA21" t="s">
        <v>79</v>
      </c>
      <c r="AC21" s="7"/>
      <c r="AG21" t="s">
        <v>287</v>
      </c>
    </row>
    <row r="22" spans="1:33" ht="12" customHeight="1">
      <c r="A22" s="22"/>
      <c r="B22" s="23"/>
      <c r="C22" s="23"/>
      <c r="D22" s="23"/>
      <c r="E22" s="23"/>
      <c r="F22" s="23"/>
      <c r="G22" s="23"/>
      <c r="H22" s="23"/>
      <c r="I22" s="23"/>
      <c r="K22" s="39" t="str">
        <f>IF($L$8="Yes","Left","")</f>
        <v>Left</v>
      </c>
      <c r="L22" s="39" t="str">
        <f>IF($L$8="Yes","Left","")</f>
        <v>Left</v>
      </c>
      <c r="M22" s="39" t="str">
        <f>IF($L$8="Yes","Right","")</f>
        <v>Right</v>
      </c>
      <c r="N22" s="39" t="str">
        <f>IF($L$8="Yes","Right","")</f>
        <v>Right</v>
      </c>
      <c r="Z22">
        <v>18</v>
      </c>
      <c r="AA22" t="s">
        <v>80</v>
      </c>
      <c r="AC22" s="7"/>
      <c r="AG22" t="s">
        <v>288</v>
      </c>
    </row>
    <row r="23" spans="1:33" ht="12.75" customHeight="1">
      <c r="A23" s="22"/>
      <c r="B23" s="22"/>
      <c r="C23" s="40" t="s">
        <v>151</v>
      </c>
      <c r="D23" s="31"/>
      <c r="E23" s="40" t="s">
        <v>151</v>
      </c>
      <c r="F23" s="34" t="s">
        <v>235</v>
      </c>
      <c r="G23" s="31" t="s">
        <v>151</v>
      </c>
      <c r="H23" s="104" t="s">
        <v>151</v>
      </c>
      <c r="I23" s="31" t="s">
        <v>402</v>
      </c>
      <c r="J23" s="31" t="s">
        <v>169</v>
      </c>
      <c r="K23" s="39" t="str">
        <f>IF($L$8="Yes","LJD","")</f>
        <v>LJD</v>
      </c>
      <c r="L23" s="39" t="str">
        <f>IF($L$8="Yes","LJD","")</f>
        <v>LJD</v>
      </c>
      <c r="M23" s="39" t="str">
        <f>IF($L$8="Yes","LJD","")</f>
        <v>LJD</v>
      </c>
      <c r="N23" s="39" t="str">
        <f>IF($L$8="Yes","LJD","")</f>
        <v>LJD</v>
      </c>
      <c r="Z23">
        <v>19</v>
      </c>
      <c r="AA23" t="s">
        <v>81</v>
      </c>
      <c r="AC23" s="7"/>
      <c r="AG23" t="s">
        <v>289</v>
      </c>
    </row>
    <row r="24" spans="1:33" ht="12.75" customHeight="1">
      <c r="A24" s="22"/>
      <c r="B24" s="22"/>
      <c r="C24" s="39" t="s">
        <v>8</v>
      </c>
      <c r="D24" s="31" t="s">
        <v>23</v>
      </c>
      <c r="E24" s="39" t="s">
        <v>8</v>
      </c>
      <c r="F24" s="34" t="s">
        <v>5</v>
      </c>
      <c r="G24" s="31" t="s">
        <v>34</v>
      </c>
      <c r="H24" s="104" t="s">
        <v>34</v>
      </c>
      <c r="I24" s="31" t="s">
        <v>9</v>
      </c>
      <c r="J24" s="31" t="s">
        <v>41</v>
      </c>
      <c r="K24" s="39" t="str">
        <f>IF($L$8="Yes","Core","")</f>
        <v>Core</v>
      </c>
      <c r="L24" s="39" t="str">
        <f>IF($L$8="Yes","Offset","")</f>
        <v>Offset</v>
      </c>
      <c r="M24" s="39" t="str">
        <f>IF($L$8="Yes","Core","")</f>
        <v>Core</v>
      </c>
      <c r="N24" s="39" t="str">
        <f>IF($L$8="Yes","Offset","")</f>
        <v>Offset</v>
      </c>
      <c r="Z24">
        <v>20</v>
      </c>
      <c r="AA24" t="s">
        <v>82</v>
      </c>
      <c r="AC24" s="7"/>
      <c r="AG24" t="s">
        <v>290</v>
      </c>
    </row>
    <row r="25" spans="1:33" ht="12.75" customHeight="1">
      <c r="A25" s="22"/>
      <c r="B25" s="39" t="s">
        <v>7</v>
      </c>
      <c r="C25" s="39" t="s">
        <v>152</v>
      </c>
      <c r="D25" s="31"/>
      <c r="E25" s="39" t="s">
        <v>5</v>
      </c>
      <c r="F25" s="93" t="s">
        <v>39</v>
      </c>
      <c r="G25" s="31" t="s">
        <v>149</v>
      </c>
      <c r="H25" s="104" t="s">
        <v>39</v>
      </c>
      <c r="I25" s="31" t="s">
        <v>150</v>
      </c>
      <c r="J25" s="31" t="s">
        <v>8</v>
      </c>
      <c r="K25" s="39" t="str">
        <f>IF($L$8="Yes","ID","")</f>
        <v>ID</v>
      </c>
      <c r="L25" s="39" t="str">
        <f>IF($L$8="Yes","(ft.)","")</f>
        <v>(ft.)</v>
      </c>
      <c r="M25" s="39" t="str">
        <f>IF($L$8="Yes","ID","")</f>
        <v>ID</v>
      </c>
      <c r="N25" s="39" t="str">
        <f>IF($L$8="Yes","(ft.)","")</f>
        <v>(ft.)</v>
      </c>
      <c r="Z25">
        <v>21</v>
      </c>
      <c r="AA25" t="s">
        <v>83</v>
      </c>
      <c r="AC25" s="7"/>
      <c r="AG25" t="s">
        <v>291</v>
      </c>
    </row>
    <row r="26" spans="1:33" ht="22.5" customHeight="1">
      <c r="A26" s="22"/>
      <c r="B26" s="234">
        <v>1</v>
      </c>
      <c r="C26" s="183">
        <f>IF(B26="","",B26+0.1)</f>
        <v>1.1</v>
      </c>
      <c r="D26" s="208" t="str">
        <f>IF($K$13&gt;=1,$E$110,"")</f>
        <v>,  Lift, </v>
      </c>
      <c r="E26" s="206">
        <f>IF($K$13&gt;=1,$E$109,"")</f>
        <v>8.56632548570633</v>
      </c>
      <c r="F26" s="204">
        <f>IF(C26="","",$E$100)</f>
        <v>0.8407028317451477</v>
      </c>
      <c r="G26" s="207">
        <f>$P$168</f>
        <v>3</v>
      </c>
      <c r="H26" s="205">
        <f aca="true" t="shared" si="1" ref="H26:H37">IF(C26="","",G168)</f>
        <v>0.5382719039916992</v>
      </c>
      <c r="I26" s="140"/>
      <c r="J26" s="182">
        <f aca="true" t="shared" si="2" ref="J26:J37">IF($K$14&gt;=1,(IF($J$19="All","Y",IF(AND($J$19="1 per Lot",$F123="Y"),$F123,""))),"")</f>
      </c>
      <c r="K26" s="209">
        <f aca="true" t="shared" si="3" ref="K26:K37">S168</f>
        <v>1.3</v>
      </c>
      <c r="L26" s="185" t="str">
        <f aca="true" t="shared" si="4" ref="L26:L37">T168</f>
        <v>Core 0.5 ft. from Left Edge</v>
      </c>
      <c r="M26" s="209">
        <f aca="true" t="shared" si="5" ref="M26:M37">U168</f>
        <v>1.4000000000000001</v>
      </c>
      <c r="N26" s="185" t="str">
        <f aca="true" t="shared" si="6" ref="N26:N37">V168</f>
        <v>Core 0.5 ft. from Right Edge</v>
      </c>
      <c r="Z26">
        <v>22</v>
      </c>
      <c r="AA26" t="s">
        <v>84</v>
      </c>
      <c r="AC26" s="7"/>
      <c r="AG26" t="s">
        <v>292</v>
      </c>
    </row>
    <row r="27" spans="1:33" ht="22.5" customHeight="1">
      <c r="A27" s="22"/>
      <c r="B27" s="235"/>
      <c r="C27" s="183">
        <f>IF(B26="","",B26+0.2)</f>
        <v>1.2</v>
      </c>
      <c r="D27" s="208" t="str">
        <f>IF($K$13&gt;=1,$F$110,"")</f>
        <v>,  Lift, </v>
      </c>
      <c r="E27" s="206">
        <f>IF($K$13&gt;=1,$F$109,"")</f>
        <v>3.6512563228607178</v>
      </c>
      <c r="F27" s="204">
        <f>IF(C27="","",$F$100)</f>
        <v>0.2945840358734131</v>
      </c>
      <c r="G27" s="207">
        <f>$P$169</f>
        <v>8.241302371025085</v>
      </c>
      <c r="H27" s="205">
        <f t="shared" si="1"/>
        <v>0.8241302371025085</v>
      </c>
      <c r="I27" s="140"/>
      <c r="J27" s="182" t="str">
        <f t="shared" si="2"/>
        <v>Y</v>
      </c>
      <c r="K27" s="209">
        <f t="shared" si="3"/>
      </c>
      <c r="L27" s="185">
        <f t="shared" si="4"/>
      </c>
      <c r="M27" s="209">
        <f t="shared" si="5"/>
      </c>
      <c r="N27" s="185">
        <f t="shared" si="6"/>
      </c>
      <c r="Z27">
        <v>23</v>
      </c>
      <c r="AA27" t="s">
        <v>85</v>
      </c>
      <c r="AC27" s="7"/>
      <c r="AG27" t="s">
        <v>293</v>
      </c>
    </row>
    <row r="28" spans="1:33" ht="22.5" customHeight="1">
      <c r="A28" s="22"/>
      <c r="B28" s="232">
        <f>IF($K$13&gt;=2,B26+1,"")</f>
      </c>
      <c r="C28" s="183">
        <f>IF(B28="","",B28+0.1)</f>
      </c>
      <c r="D28" s="208">
        <f>IF($K$13&gt;=2,$G$110,"")</f>
      </c>
      <c r="E28" s="206">
        <f>IF($K$13&gt;=2,$G$109,"")</f>
      </c>
      <c r="F28" s="204">
        <f>IF(C28="","",$G$100)</f>
      </c>
      <c r="G28" s="207">
        <f>$P$170</f>
      </c>
      <c r="H28" s="205">
        <f t="shared" si="1"/>
      </c>
      <c r="I28" s="140"/>
      <c r="J28" s="182" t="str">
        <f t="shared" si="2"/>
        <v>Y</v>
      </c>
      <c r="K28" s="209">
        <f t="shared" si="3"/>
      </c>
      <c r="L28" s="185">
        <f t="shared" si="4"/>
      </c>
      <c r="M28" s="209">
        <f t="shared" si="5"/>
      </c>
      <c r="N28" s="185">
        <f t="shared" si="6"/>
      </c>
      <c r="Z28">
        <v>24</v>
      </c>
      <c r="AA28" t="s">
        <v>86</v>
      </c>
      <c r="AC28" s="7"/>
      <c r="AG28" t="s">
        <v>294</v>
      </c>
    </row>
    <row r="29" spans="1:33" ht="22.5" customHeight="1">
      <c r="A29" s="22"/>
      <c r="B29" s="233"/>
      <c r="C29" s="183">
        <f>IF(B28="","",B28+0.2)</f>
      </c>
      <c r="D29" s="208">
        <f>IF($K$13&gt;=2,$H$110,"")</f>
      </c>
      <c r="E29" s="206">
        <f>IF($K$13&gt;=2,$H$109,"")</f>
      </c>
      <c r="F29" s="204">
        <f>IF(C29="","",$H$100)</f>
      </c>
      <c r="G29" s="207">
        <f>$P$171</f>
      </c>
      <c r="H29" s="205">
        <f t="shared" si="1"/>
      </c>
      <c r="I29" s="140"/>
      <c r="J29" s="182">
        <f t="shared" si="2"/>
      </c>
      <c r="K29" s="209">
        <f t="shared" si="3"/>
      </c>
      <c r="L29" s="185">
        <f t="shared" si="4"/>
      </c>
      <c r="M29" s="209">
        <f t="shared" si="5"/>
      </c>
      <c r="N29" s="185">
        <f t="shared" si="6"/>
      </c>
      <c r="Z29">
        <v>25</v>
      </c>
      <c r="AA29" t="s">
        <v>87</v>
      </c>
      <c r="AC29" s="7"/>
      <c r="AG29" t="s">
        <v>295</v>
      </c>
    </row>
    <row r="30" spans="1:33" ht="22.5" customHeight="1">
      <c r="A30" s="22"/>
      <c r="B30" s="232">
        <f>IF($K$13&gt;=3,B28+1,"")</f>
      </c>
      <c r="C30" s="183">
        <f>IF(B30="","",B30+0.1)</f>
      </c>
      <c r="D30" s="208">
        <f>IF($K$13&gt;=3,$I$110,"")</f>
      </c>
      <c r="E30" s="206">
        <f>IF($K$13&gt;=3,$I$109,"")</f>
      </c>
      <c r="F30" s="204">
        <f>IF(C30="","",$I$100)</f>
      </c>
      <c r="G30" s="207">
        <f>$P$172</f>
      </c>
      <c r="H30" s="205">
        <f t="shared" si="1"/>
      </c>
      <c r="I30" s="140"/>
      <c r="J30" s="182" t="str">
        <f t="shared" si="2"/>
        <v>Y</v>
      </c>
      <c r="K30" s="209">
        <f t="shared" si="3"/>
      </c>
      <c r="L30" s="185">
        <f t="shared" si="4"/>
      </c>
      <c r="M30" s="209">
        <f t="shared" si="5"/>
      </c>
      <c r="N30" s="185">
        <f t="shared" si="6"/>
      </c>
      <c r="Z30">
        <v>26</v>
      </c>
      <c r="AA30" t="s">
        <v>88</v>
      </c>
      <c r="AC30" s="7"/>
      <c r="AG30" t="s">
        <v>296</v>
      </c>
    </row>
    <row r="31" spans="1:33" ht="22.5" customHeight="1">
      <c r="A31" s="22"/>
      <c r="B31" s="233"/>
      <c r="C31" s="183">
        <f>IF(B30="","",B30+0.2)</f>
      </c>
      <c r="D31" s="208">
        <f>IF($K$13&gt;=3,$J$110,"")</f>
      </c>
      <c r="E31" s="206">
        <f>IF($K$13&gt;=3,$J$109,"")</f>
      </c>
      <c r="F31" s="204">
        <f>IF(C31="","",$J$100)</f>
      </c>
      <c r="G31" s="207">
        <f>$P$173</f>
      </c>
      <c r="H31" s="205">
        <f t="shared" si="1"/>
      </c>
      <c r="I31" s="140"/>
      <c r="J31" s="182">
        <f t="shared" si="2"/>
      </c>
      <c r="K31" s="209">
        <f t="shared" si="3"/>
      </c>
      <c r="L31" s="185">
        <f t="shared" si="4"/>
      </c>
      <c r="M31" s="209">
        <f t="shared" si="5"/>
      </c>
      <c r="N31" s="185">
        <f t="shared" si="6"/>
      </c>
      <c r="Z31">
        <v>27</v>
      </c>
      <c r="AA31" t="s">
        <v>89</v>
      </c>
      <c r="AC31" s="7"/>
      <c r="AG31" t="s">
        <v>297</v>
      </c>
    </row>
    <row r="32" spans="1:33" ht="22.5" customHeight="1">
      <c r="A32" s="22"/>
      <c r="B32" s="232">
        <f>IF($K$13&gt;=4,B30+1,"")</f>
      </c>
      <c r="C32" s="183">
        <f>IF(B32="","",B32+0.1)</f>
      </c>
      <c r="D32" s="208">
        <f>IF($K$13&gt;=4,$K$110,"")</f>
      </c>
      <c r="E32" s="206">
        <f>IF($K$13&gt;=4,$K$109,"")</f>
      </c>
      <c r="F32" s="204">
        <f>IF(C32="","",$K$100)</f>
      </c>
      <c r="G32" s="207">
        <f>$P$174</f>
      </c>
      <c r="H32" s="205">
        <f t="shared" si="1"/>
      </c>
      <c r="I32" s="140"/>
      <c r="J32" s="182" t="str">
        <f t="shared" si="2"/>
        <v>Y</v>
      </c>
      <c r="K32" s="209">
        <f t="shared" si="3"/>
      </c>
      <c r="L32" s="185">
        <f t="shared" si="4"/>
      </c>
      <c r="M32" s="209">
        <f t="shared" si="5"/>
      </c>
      <c r="N32" s="185">
        <f t="shared" si="6"/>
      </c>
      <c r="Z32">
        <v>28</v>
      </c>
      <c r="AA32" t="s">
        <v>90</v>
      </c>
      <c r="AC32" s="7"/>
      <c r="AG32" t="s">
        <v>298</v>
      </c>
    </row>
    <row r="33" spans="1:33" ht="22.5" customHeight="1">
      <c r="A33" s="22"/>
      <c r="B33" s="233"/>
      <c r="C33" s="183">
        <f>IF(B32="","",B32+0.2)</f>
      </c>
      <c r="D33" s="208">
        <f>IF($K$13&gt;=4,$L$110,"")</f>
      </c>
      <c r="E33" s="206">
        <f>IF($K$13&gt;=4,$L$109,"")</f>
      </c>
      <c r="F33" s="204">
        <f>IF(C33="","",$L$100)</f>
      </c>
      <c r="G33" s="207">
        <f>$P$175</f>
      </c>
      <c r="H33" s="205">
        <f t="shared" si="1"/>
      </c>
      <c r="I33" s="140"/>
      <c r="J33" s="182">
        <f t="shared" si="2"/>
      </c>
      <c r="K33" s="209">
        <f t="shared" si="3"/>
      </c>
      <c r="L33" s="185">
        <f t="shared" si="4"/>
      </c>
      <c r="M33" s="209">
        <f t="shared" si="5"/>
      </c>
      <c r="N33" s="185">
        <f t="shared" si="6"/>
      </c>
      <c r="Z33">
        <v>29</v>
      </c>
      <c r="AA33" t="s">
        <v>91</v>
      </c>
      <c r="AC33" s="7"/>
      <c r="AG33" t="s">
        <v>299</v>
      </c>
    </row>
    <row r="34" spans="1:33" ht="22.5" customHeight="1">
      <c r="A34" s="22"/>
      <c r="B34" s="232">
        <f>IF($K$13&gt;=5,B32+1,"")</f>
      </c>
      <c r="C34" s="183">
        <f>IF(B34="","",B34+0.1)</f>
      </c>
      <c r="D34" s="208">
        <f>IF($K$13&gt;=5,$M$110,"")</f>
      </c>
      <c r="E34" s="206">
        <f>IF($K$13&gt;=5,$M$109,"")</f>
      </c>
      <c r="F34" s="204">
        <f>IF(C34="","",$M$100)</f>
      </c>
      <c r="G34" s="207">
        <f>$P$176</f>
      </c>
      <c r="H34" s="205">
        <f t="shared" si="1"/>
      </c>
      <c r="I34" s="140"/>
      <c r="J34" s="182" t="str">
        <f t="shared" si="2"/>
        <v>Y</v>
      </c>
      <c r="K34" s="209">
        <f t="shared" si="3"/>
      </c>
      <c r="L34" s="185">
        <f t="shared" si="4"/>
      </c>
      <c r="M34" s="209">
        <f t="shared" si="5"/>
      </c>
      <c r="N34" s="185">
        <f t="shared" si="6"/>
      </c>
      <c r="Z34">
        <v>30</v>
      </c>
      <c r="AA34" t="s">
        <v>92</v>
      </c>
      <c r="AC34" s="7"/>
      <c r="AG34" t="s">
        <v>300</v>
      </c>
    </row>
    <row r="35" spans="1:33" ht="22.5" customHeight="1">
      <c r="A35" s="22"/>
      <c r="B35" s="233"/>
      <c r="C35" s="183">
        <f>IF(B34="","",B34+0.2)</f>
      </c>
      <c r="D35" s="208">
        <f>IF($K$13&gt;=5,$N$110,"")</f>
      </c>
      <c r="E35" s="206">
        <f>IF($K$13&gt;=5,$N$109,"")</f>
      </c>
      <c r="F35" s="204">
        <f>IF(C35="","",$N$100)</f>
      </c>
      <c r="G35" s="207">
        <f>$P$177</f>
      </c>
      <c r="H35" s="205">
        <f t="shared" si="1"/>
      </c>
      <c r="I35" s="140"/>
      <c r="J35" s="182">
        <f t="shared" si="2"/>
      </c>
      <c r="K35" s="209">
        <f t="shared" si="3"/>
      </c>
      <c r="L35" s="185">
        <f t="shared" si="4"/>
      </c>
      <c r="M35" s="209">
        <f t="shared" si="5"/>
      </c>
      <c r="N35" s="185">
        <f t="shared" si="6"/>
      </c>
      <c r="Z35">
        <v>31</v>
      </c>
      <c r="AA35" s="7" t="s">
        <v>225</v>
      </c>
      <c r="AC35" s="7"/>
      <c r="AG35" t="s">
        <v>301</v>
      </c>
    </row>
    <row r="36" spans="1:33" ht="22.5" customHeight="1">
      <c r="A36" s="22"/>
      <c r="B36" s="232">
        <f>IF($K$13&gt;=6,B34+1,"")</f>
      </c>
      <c r="C36" s="183">
        <f>IF(B36="","",B36+0.1)</f>
      </c>
      <c r="D36" s="208">
        <f>IF($K$13&gt;=6,$O$110,"")</f>
      </c>
      <c r="E36" s="206">
        <f>IF($K$13&gt;=6,$O$109,"")</f>
      </c>
      <c r="F36" s="204">
        <f>IF(C36="","",$O$100)</f>
      </c>
      <c r="G36" s="207">
        <f>$P$178</f>
      </c>
      <c r="H36" s="205">
        <f t="shared" si="1"/>
      </c>
      <c r="I36" s="140"/>
      <c r="J36" s="182">
        <f t="shared" si="2"/>
      </c>
      <c r="K36" s="209">
        <f t="shared" si="3"/>
      </c>
      <c r="L36" s="185">
        <f t="shared" si="4"/>
      </c>
      <c r="M36" s="209">
        <f t="shared" si="5"/>
      </c>
      <c r="N36" s="185">
        <f t="shared" si="6"/>
      </c>
      <c r="Z36">
        <v>32</v>
      </c>
      <c r="AA36" t="s">
        <v>93</v>
      </c>
      <c r="AC36" s="7"/>
      <c r="AG36" t="s">
        <v>302</v>
      </c>
    </row>
    <row r="37" spans="1:33" ht="22.5" customHeight="1">
      <c r="A37" s="22"/>
      <c r="B37" s="233"/>
      <c r="C37" s="183">
        <f>IF(B36="","",B36+0.2)</f>
      </c>
      <c r="D37" s="208">
        <f>IF($K$13&gt;=6,$P$110,"")</f>
      </c>
      <c r="E37" s="206">
        <f>IF($K$13&gt;=6,$P$109,"")</f>
      </c>
      <c r="F37" s="204">
        <f>IF(C37="","",$P$100)</f>
      </c>
      <c r="G37" s="207">
        <f>$P$179</f>
      </c>
      <c r="H37" s="184">
        <f t="shared" si="1"/>
      </c>
      <c r="I37" s="140"/>
      <c r="J37" s="182" t="str">
        <f t="shared" si="2"/>
        <v>Y</v>
      </c>
      <c r="K37" s="209">
        <f t="shared" si="3"/>
      </c>
      <c r="L37" s="185">
        <f t="shared" si="4"/>
      </c>
      <c r="M37" s="209">
        <f t="shared" si="5"/>
      </c>
      <c r="N37" s="185">
        <f t="shared" si="6"/>
      </c>
      <c r="O37" s="203"/>
      <c r="Z37">
        <v>33</v>
      </c>
      <c r="AA37" t="s">
        <v>94</v>
      </c>
      <c r="AC37" s="7"/>
      <c r="AG37" t="s">
        <v>303</v>
      </c>
    </row>
    <row r="38" spans="1:33" ht="9.75" customHeight="1">
      <c r="A38" s="22"/>
      <c r="B38" s="22"/>
      <c r="C38" s="41"/>
      <c r="D38" s="41"/>
      <c r="E38" s="41"/>
      <c r="F38" s="41"/>
      <c r="G38" s="41"/>
      <c r="H38" s="41"/>
      <c r="I38" s="41"/>
      <c r="J38" s="41"/>
      <c r="K38" s="23"/>
      <c r="L38" s="41"/>
      <c r="M38" s="41"/>
      <c r="N38" s="41"/>
      <c r="O38" s="22"/>
      <c r="P38" s="36"/>
      <c r="Z38">
        <v>34</v>
      </c>
      <c r="AA38" t="s">
        <v>95</v>
      </c>
      <c r="AC38" s="7"/>
      <c r="AG38" t="s">
        <v>304</v>
      </c>
    </row>
    <row r="39" spans="1:33" ht="9.75" customHeight="1">
      <c r="A39" s="22"/>
      <c r="B39" s="22"/>
      <c r="C39" s="22"/>
      <c r="D39" s="22"/>
      <c r="E39" s="23"/>
      <c r="F39" s="22"/>
      <c r="G39" s="23"/>
      <c r="H39" s="23"/>
      <c r="I39" s="23"/>
      <c r="J39" s="23"/>
      <c r="K39" s="23"/>
      <c r="L39" s="23"/>
      <c r="M39" s="23"/>
      <c r="N39" s="23"/>
      <c r="O39" s="23"/>
      <c r="P39" s="36"/>
      <c r="Q39" s="4"/>
      <c r="Z39">
        <v>35</v>
      </c>
      <c r="AA39" t="s">
        <v>96</v>
      </c>
      <c r="AC39" s="7"/>
      <c r="AG39" t="s">
        <v>305</v>
      </c>
    </row>
    <row r="40" spans="1:33" ht="13.5" customHeight="1">
      <c r="A40" s="22"/>
      <c r="B40" s="22"/>
      <c r="C40" s="219" t="s">
        <v>35</v>
      </c>
      <c r="D40" s="220"/>
      <c r="E40" s="221"/>
      <c r="F40" s="23"/>
      <c r="G40" s="9" t="s">
        <v>25</v>
      </c>
      <c r="H40" s="10"/>
      <c r="I40" s="11"/>
      <c r="J40" s="12"/>
      <c r="K40" s="12"/>
      <c r="L40" s="13"/>
      <c r="M40" s="36"/>
      <c r="N40" s="42"/>
      <c r="O40" s="23"/>
      <c r="P40" s="23"/>
      <c r="Q40" s="4"/>
      <c r="Z40">
        <v>36</v>
      </c>
      <c r="AA40" t="s">
        <v>97</v>
      </c>
      <c r="AC40" s="7"/>
      <c r="AG40" t="s">
        <v>306</v>
      </c>
    </row>
    <row r="41" spans="1:33" ht="13.5" customHeight="1">
      <c r="A41" s="22"/>
      <c r="B41" s="22"/>
      <c r="C41" s="196" t="s">
        <v>27</v>
      </c>
      <c r="D41" s="197"/>
      <c r="E41" s="168" t="s">
        <v>7</v>
      </c>
      <c r="F41" s="23"/>
      <c r="G41" s="210"/>
      <c r="H41" s="211"/>
      <c r="I41" s="211"/>
      <c r="J41" s="211"/>
      <c r="K41" s="211"/>
      <c r="L41" s="212"/>
      <c r="M41" s="42"/>
      <c r="N41" s="23"/>
      <c r="O41" s="23"/>
      <c r="P41" s="23"/>
      <c r="Q41" s="4"/>
      <c r="Z41">
        <v>37</v>
      </c>
      <c r="AA41" t="s">
        <v>98</v>
      </c>
      <c r="AC41" s="7"/>
      <c r="AG41" t="s">
        <v>307</v>
      </c>
    </row>
    <row r="42" spans="1:33" ht="13.5" customHeight="1">
      <c r="A42" s="22"/>
      <c r="B42" s="22"/>
      <c r="C42" s="196" t="s">
        <v>28</v>
      </c>
      <c r="D42" s="197"/>
      <c r="E42" s="168">
        <v>1</v>
      </c>
      <c r="F42" s="23"/>
      <c r="G42" s="210"/>
      <c r="H42" s="211"/>
      <c r="I42" s="211"/>
      <c r="J42" s="211"/>
      <c r="K42" s="211"/>
      <c r="L42" s="212"/>
      <c r="M42" s="42"/>
      <c r="N42" s="23"/>
      <c r="O42" s="23"/>
      <c r="P42" s="23"/>
      <c r="Q42" s="4"/>
      <c r="Z42">
        <v>38</v>
      </c>
      <c r="AA42" t="s">
        <v>99</v>
      </c>
      <c r="AC42" s="7"/>
      <c r="AG42" t="s">
        <v>308</v>
      </c>
    </row>
    <row r="43" spans="1:33" ht="13.5" customHeight="1">
      <c r="A43" s="22"/>
      <c r="B43" s="22"/>
      <c r="C43" s="196" t="s">
        <v>29</v>
      </c>
      <c r="D43" s="197"/>
      <c r="E43" s="168">
        <v>2</v>
      </c>
      <c r="F43" s="23"/>
      <c r="G43" s="210"/>
      <c r="H43" s="211"/>
      <c r="I43" s="211"/>
      <c r="J43" s="211"/>
      <c r="K43" s="211"/>
      <c r="L43" s="212"/>
      <c r="M43" s="42"/>
      <c r="N43" s="23"/>
      <c r="O43" s="23"/>
      <c r="P43" s="23"/>
      <c r="Q43" s="4"/>
      <c r="Z43">
        <v>39</v>
      </c>
      <c r="AA43" t="s">
        <v>100</v>
      </c>
      <c r="AC43" s="7"/>
      <c r="AG43" t="s">
        <v>309</v>
      </c>
    </row>
    <row r="44" spans="1:33" ht="13.5" customHeight="1">
      <c r="A44" s="22"/>
      <c r="B44" s="22"/>
      <c r="C44" s="196" t="s">
        <v>30</v>
      </c>
      <c r="D44" s="197"/>
      <c r="E44" s="168">
        <v>3</v>
      </c>
      <c r="F44" s="23"/>
      <c r="G44" s="194"/>
      <c r="H44" s="230"/>
      <c r="I44" s="230"/>
      <c r="J44" s="230"/>
      <c r="K44" s="230"/>
      <c r="L44" s="231"/>
      <c r="M44" s="42"/>
      <c r="N44" s="23"/>
      <c r="O44" s="23"/>
      <c r="P44" s="23"/>
      <c r="Q44" s="4"/>
      <c r="Z44">
        <v>40</v>
      </c>
      <c r="AA44" t="s">
        <v>101</v>
      </c>
      <c r="AC44" s="7"/>
      <c r="AG44" t="s">
        <v>310</v>
      </c>
    </row>
    <row r="45" spans="1:33" ht="13.5" customHeight="1">
      <c r="A45" s="22"/>
      <c r="B45" s="22"/>
      <c r="C45" s="196" t="s">
        <v>31</v>
      </c>
      <c r="D45" s="197"/>
      <c r="E45" s="168">
        <v>4</v>
      </c>
      <c r="F45" s="23"/>
      <c r="G45" s="22"/>
      <c r="H45" s="22"/>
      <c r="I45" s="22"/>
      <c r="J45" s="22"/>
      <c r="K45" s="22"/>
      <c r="L45" s="22"/>
      <c r="M45" s="42"/>
      <c r="N45" s="23"/>
      <c r="O45" s="23"/>
      <c r="P45" s="23"/>
      <c r="Q45" s="4"/>
      <c r="Z45">
        <v>41</v>
      </c>
      <c r="AA45" t="s">
        <v>102</v>
      </c>
      <c r="AC45" s="7"/>
      <c r="AG45" t="s">
        <v>311</v>
      </c>
    </row>
    <row r="46" spans="1:33" ht="13.5" customHeight="1">
      <c r="A46" s="22"/>
      <c r="B46" s="22"/>
      <c r="C46" s="196" t="s">
        <v>32</v>
      </c>
      <c r="D46" s="197"/>
      <c r="E46" s="168">
        <v>5</v>
      </c>
      <c r="F46" s="23"/>
      <c r="G46" s="22"/>
      <c r="H46" s="22"/>
      <c r="I46" s="22"/>
      <c r="J46" s="22"/>
      <c r="K46" s="22"/>
      <c r="L46" s="22"/>
      <c r="M46" s="42"/>
      <c r="N46" s="23"/>
      <c r="O46" s="23"/>
      <c r="P46" s="23"/>
      <c r="Q46" s="4"/>
      <c r="Z46">
        <v>42</v>
      </c>
      <c r="AA46" t="s">
        <v>103</v>
      </c>
      <c r="AC46" s="7"/>
      <c r="AG46" t="s">
        <v>312</v>
      </c>
    </row>
    <row r="47" spans="1:33" ht="13.5" customHeight="1">
      <c r="A47" s="22"/>
      <c r="B47" s="22"/>
      <c r="C47" s="196" t="s">
        <v>33</v>
      </c>
      <c r="D47" s="197"/>
      <c r="E47" s="168">
        <v>6</v>
      </c>
      <c r="F47" s="23"/>
      <c r="G47" s="28" t="s">
        <v>26</v>
      </c>
      <c r="H47" s="23"/>
      <c r="I47" s="23"/>
      <c r="J47" s="192"/>
      <c r="K47" s="192"/>
      <c r="L47" s="42"/>
      <c r="M47" s="23"/>
      <c r="N47" s="23"/>
      <c r="O47" s="23"/>
      <c r="P47" s="23"/>
      <c r="Q47" s="4"/>
      <c r="Z47">
        <v>43</v>
      </c>
      <c r="AA47" t="s">
        <v>104</v>
      </c>
      <c r="AC47" s="7"/>
      <c r="AG47" t="s">
        <v>313</v>
      </c>
    </row>
    <row r="48" spans="1:33" ht="12.75" customHeight="1" thickBot="1">
      <c r="A48" s="22"/>
      <c r="B48" s="22"/>
      <c r="C48" s="43"/>
      <c r="D48" s="43"/>
      <c r="E48" s="22"/>
      <c r="F48" s="23"/>
      <c r="G48" s="28"/>
      <c r="H48" s="44"/>
      <c r="I48" s="44"/>
      <c r="J48" s="193"/>
      <c r="K48" s="193"/>
      <c r="L48" s="45"/>
      <c r="M48" s="23"/>
      <c r="N48" s="23"/>
      <c r="O48" s="23"/>
      <c r="P48" s="23"/>
      <c r="Q48" s="4"/>
      <c r="Z48">
        <v>44</v>
      </c>
      <c r="AA48" t="s">
        <v>105</v>
      </c>
      <c r="AC48" s="7"/>
      <c r="AG48" t="s">
        <v>314</v>
      </c>
    </row>
    <row r="49" spans="1:33" ht="13.5" customHeight="1" thickTop="1">
      <c r="A49" s="22"/>
      <c r="B49" s="22"/>
      <c r="C49" s="43"/>
      <c r="D49" s="43"/>
      <c r="E49" s="46"/>
      <c r="F49" s="23"/>
      <c r="G49" s="23"/>
      <c r="H49" s="23"/>
      <c r="I49" s="23"/>
      <c r="J49" s="23"/>
      <c r="K49" s="23"/>
      <c r="L49" s="36"/>
      <c r="M49" s="42"/>
      <c r="N49" s="23"/>
      <c r="O49" s="23"/>
      <c r="P49" s="23"/>
      <c r="Q49" s="4"/>
      <c r="Z49">
        <v>45</v>
      </c>
      <c r="AA49" t="s">
        <v>106</v>
      </c>
      <c r="AC49" s="7"/>
      <c r="AG49" t="s">
        <v>315</v>
      </c>
    </row>
    <row r="50" spans="1:33" ht="12.75" customHeight="1" hidden="1">
      <c r="A50" s="22"/>
      <c r="B50" s="22"/>
      <c r="C50" s="22"/>
      <c r="D50" s="22"/>
      <c r="E50" s="22"/>
      <c r="F50" s="23"/>
      <c r="G50" s="23"/>
      <c r="H50" s="23"/>
      <c r="I50" s="23"/>
      <c r="J50" s="23"/>
      <c r="K50" s="23"/>
      <c r="L50" s="36"/>
      <c r="M50" s="42"/>
      <c r="N50" s="23"/>
      <c r="O50" s="23"/>
      <c r="P50" s="23"/>
      <c r="Q50" s="4"/>
      <c r="Z50">
        <v>46</v>
      </c>
      <c r="AA50" t="s">
        <v>107</v>
      </c>
      <c r="AC50" s="7"/>
      <c r="AG50" t="s">
        <v>316</v>
      </c>
    </row>
    <row r="51" spans="1:33" ht="12.75" customHeight="1" hidden="1">
      <c r="A51" s="22"/>
      <c r="B51" s="22"/>
      <c r="C51" s="22"/>
      <c r="D51" s="22"/>
      <c r="E51" s="22"/>
      <c r="F51" s="23"/>
      <c r="G51" s="23"/>
      <c r="H51" s="23"/>
      <c r="I51" s="23"/>
      <c r="J51" s="23"/>
      <c r="K51" s="23"/>
      <c r="L51" s="36"/>
      <c r="M51" s="42"/>
      <c r="N51" s="23"/>
      <c r="O51" s="23"/>
      <c r="P51" s="23"/>
      <c r="Q51" s="4"/>
      <c r="Z51">
        <v>47</v>
      </c>
      <c r="AA51" t="s">
        <v>108</v>
      </c>
      <c r="AC51" s="7"/>
      <c r="AG51" t="s">
        <v>317</v>
      </c>
    </row>
    <row r="52" spans="1:33" ht="12.75" customHeight="1" hidden="1">
      <c r="A52" s="22"/>
      <c r="B52" s="22"/>
      <c r="C52" s="22"/>
      <c r="D52" s="22"/>
      <c r="E52" s="22"/>
      <c r="F52" s="23"/>
      <c r="G52" s="23"/>
      <c r="H52" s="23"/>
      <c r="I52" s="23"/>
      <c r="J52" s="23"/>
      <c r="K52" s="23"/>
      <c r="L52" s="36"/>
      <c r="M52" s="42"/>
      <c r="N52" s="23"/>
      <c r="O52" s="23"/>
      <c r="P52" s="23"/>
      <c r="Q52" s="4"/>
      <c r="Z52">
        <v>48</v>
      </c>
      <c r="AA52" t="s">
        <v>109</v>
      </c>
      <c r="AC52" s="7"/>
      <c r="AG52" t="s">
        <v>318</v>
      </c>
    </row>
    <row r="53" spans="1:29" ht="12.75" customHeight="1" hidden="1">
      <c r="A53" s="22"/>
      <c r="B53" s="22"/>
      <c r="C53" s="22"/>
      <c r="D53" s="22"/>
      <c r="E53" s="22"/>
      <c r="F53" s="23"/>
      <c r="G53" s="23"/>
      <c r="H53" s="23"/>
      <c r="I53" s="23"/>
      <c r="J53" s="23"/>
      <c r="K53" s="23"/>
      <c r="L53" s="36"/>
      <c r="M53" s="42"/>
      <c r="N53" s="23"/>
      <c r="O53" s="23"/>
      <c r="P53" s="23"/>
      <c r="Q53" s="4"/>
      <c r="Z53">
        <v>49</v>
      </c>
      <c r="AA53" t="s">
        <v>110</v>
      </c>
      <c r="AC53" s="7"/>
    </row>
    <row r="54" spans="1:29" ht="12.75" customHeight="1" hidden="1">
      <c r="A54" s="22"/>
      <c r="B54" s="22"/>
      <c r="C54" s="22"/>
      <c r="D54" s="22"/>
      <c r="E54" s="22"/>
      <c r="F54" s="23"/>
      <c r="G54" s="23"/>
      <c r="H54" s="23"/>
      <c r="I54" s="23"/>
      <c r="J54" s="23"/>
      <c r="K54" s="23"/>
      <c r="L54" s="36"/>
      <c r="M54" s="42"/>
      <c r="N54" s="23"/>
      <c r="O54" s="23"/>
      <c r="P54" s="23"/>
      <c r="Q54" s="4"/>
      <c r="Z54">
        <v>50</v>
      </c>
      <c r="AA54" t="s">
        <v>111</v>
      </c>
      <c r="AC54" s="7"/>
    </row>
    <row r="55" spans="1:29" ht="12.75" customHeight="1" hidden="1">
      <c r="A55" s="22"/>
      <c r="B55" s="22"/>
      <c r="C55" s="22"/>
      <c r="D55" s="22"/>
      <c r="E55" s="22"/>
      <c r="F55" s="23"/>
      <c r="G55" s="23"/>
      <c r="H55" s="23"/>
      <c r="I55" s="23"/>
      <c r="J55" s="23"/>
      <c r="K55" s="23"/>
      <c r="L55" s="36"/>
      <c r="M55" s="42"/>
      <c r="N55" s="23"/>
      <c r="O55" s="23"/>
      <c r="P55" s="23"/>
      <c r="Q55" s="4"/>
      <c r="Z55">
        <v>51</v>
      </c>
      <c r="AA55" t="s">
        <v>112</v>
      </c>
      <c r="AC55" s="7"/>
    </row>
    <row r="56" spans="1:29" ht="12.75" customHeight="1" hidden="1">
      <c r="A56" s="22"/>
      <c r="B56" s="22"/>
      <c r="C56" s="22"/>
      <c r="D56" s="22"/>
      <c r="E56" s="22"/>
      <c r="F56" s="23"/>
      <c r="G56" s="23"/>
      <c r="H56" s="23"/>
      <c r="I56" s="23"/>
      <c r="J56" s="23"/>
      <c r="K56" s="23"/>
      <c r="L56" s="36"/>
      <c r="M56" s="42"/>
      <c r="N56" s="23"/>
      <c r="O56" s="23"/>
      <c r="P56" s="23"/>
      <c r="Q56" s="4"/>
      <c r="Z56">
        <v>52</v>
      </c>
      <c r="AA56" t="s">
        <v>113</v>
      </c>
      <c r="AC56" s="7"/>
    </row>
    <row r="57" spans="1:29" ht="12.75" customHeight="1" hidden="1">
      <c r="A57" s="22"/>
      <c r="B57" s="22"/>
      <c r="C57" s="22"/>
      <c r="D57" s="22"/>
      <c r="E57" s="22"/>
      <c r="F57" s="23"/>
      <c r="G57" s="23"/>
      <c r="H57" s="23"/>
      <c r="I57" s="23"/>
      <c r="J57" s="23"/>
      <c r="K57" s="23"/>
      <c r="L57" s="36"/>
      <c r="M57" s="42"/>
      <c r="N57" s="23"/>
      <c r="O57" s="23"/>
      <c r="P57" s="23"/>
      <c r="Q57" s="4"/>
      <c r="Z57">
        <v>53</v>
      </c>
      <c r="AA57" t="s">
        <v>114</v>
      </c>
      <c r="AC57" s="7"/>
    </row>
    <row r="58" spans="1:29" ht="12.75" customHeight="1" hidden="1">
      <c r="A58" s="22"/>
      <c r="B58" s="22"/>
      <c r="C58" s="22"/>
      <c r="D58" s="22"/>
      <c r="E58" s="22"/>
      <c r="F58" s="23"/>
      <c r="G58" s="23"/>
      <c r="H58" s="23"/>
      <c r="I58" s="23"/>
      <c r="J58" s="23"/>
      <c r="K58" s="23"/>
      <c r="L58" s="36"/>
      <c r="M58" s="42"/>
      <c r="N58" s="23"/>
      <c r="O58" s="23"/>
      <c r="P58" s="23"/>
      <c r="Q58" s="4"/>
      <c r="Z58">
        <v>54</v>
      </c>
      <c r="AA58" t="s">
        <v>115</v>
      </c>
      <c r="AC58" s="7"/>
    </row>
    <row r="59" spans="1:29" ht="12.75" customHeight="1" hidden="1">
      <c r="A59" s="22"/>
      <c r="B59" s="22"/>
      <c r="C59" s="22"/>
      <c r="D59" s="22"/>
      <c r="E59" s="22"/>
      <c r="F59" s="23"/>
      <c r="G59" s="23"/>
      <c r="H59" s="23"/>
      <c r="I59" s="23"/>
      <c r="J59" s="23"/>
      <c r="K59" s="23"/>
      <c r="L59" s="36"/>
      <c r="M59" s="42"/>
      <c r="N59" s="23"/>
      <c r="O59" s="23"/>
      <c r="P59" s="23"/>
      <c r="Q59" s="4"/>
      <c r="Z59">
        <v>55</v>
      </c>
      <c r="AA59" t="s">
        <v>116</v>
      </c>
      <c r="AC59" s="7"/>
    </row>
    <row r="60" spans="1:29" ht="12.75" customHeight="1" hidden="1">
      <c r="A60" s="22"/>
      <c r="B60" s="22"/>
      <c r="C60" s="22"/>
      <c r="D60" s="22"/>
      <c r="E60" s="22"/>
      <c r="F60" s="23"/>
      <c r="G60" s="23"/>
      <c r="H60" s="23"/>
      <c r="I60" s="23"/>
      <c r="J60" s="23"/>
      <c r="K60" s="23"/>
      <c r="L60" s="36"/>
      <c r="M60" s="42"/>
      <c r="N60" s="23"/>
      <c r="O60" s="23"/>
      <c r="P60" s="23"/>
      <c r="Q60" s="4"/>
      <c r="Z60">
        <v>56</v>
      </c>
      <c r="AA60" t="s">
        <v>117</v>
      </c>
      <c r="AC60" s="7"/>
    </row>
    <row r="61" spans="1:29" ht="12.75" customHeight="1" hidden="1">
      <c r="A61" s="22"/>
      <c r="B61" s="22"/>
      <c r="C61" s="22"/>
      <c r="D61" s="22"/>
      <c r="E61" s="22"/>
      <c r="F61" s="23"/>
      <c r="G61" s="23"/>
      <c r="H61" s="23"/>
      <c r="I61" s="23"/>
      <c r="J61" s="23"/>
      <c r="K61" s="23"/>
      <c r="L61" s="36"/>
      <c r="M61" s="42"/>
      <c r="N61" s="23"/>
      <c r="O61" s="23"/>
      <c r="P61" s="23"/>
      <c r="Q61" s="4"/>
      <c r="Z61">
        <v>57</v>
      </c>
      <c r="AA61" t="s">
        <v>118</v>
      </c>
      <c r="AC61" s="7"/>
    </row>
    <row r="62" spans="1:29" ht="12.75" customHeight="1" hidden="1">
      <c r="A62" s="22"/>
      <c r="B62" s="22"/>
      <c r="C62" s="22"/>
      <c r="D62" s="22"/>
      <c r="E62" s="22"/>
      <c r="F62" s="23"/>
      <c r="G62" s="23"/>
      <c r="H62" s="23"/>
      <c r="I62" s="23"/>
      <c r="J62" s="23"/>
      <c r="K62" s="23"/>
      <c r="L62" s="36"/>
      <c r="M62" s="42"/>
      <c r="N62" s="23"/>
      <c r="O62" s="23"/>
      <c r="P62" s="23"/>
      <c r="Q62" s="4"/>
      <c r="Z62">
        <v>58</v>
      </c>
      <c r="AA62" t="s">
        <v>119</v>
      </c>
      <c r="AC62" s="7"/>
    </row>
    <row r="63" spans="1:29" ht="12.75" customHeight="1" hidden="1">
      <c r="A63" s="22"/>
      <c r="B63" s="22"/>
      <c r="C63" s="22"/>
      <c r="D63" s="22"/>
      <c r="E63" s="22"/>
      <c r="F63" s="23"/>
      <c r="G63" s="23"/>
      <c r="H63" s="23"/>
      <c r="I63" s="23"/>
      <c r="J63" s="23"/>
      <c r="K63" s="23"/>
      <c r="L63" s="36"/>
      <c r="M63" s="42"/>
      <c r="N63" s="23"/>
      <c r="O63" s="23"/>
      <c r="P63" s="23"/>
      <c r="Q63" s="4"/>
      <c r="Z63">
        <v>59</v>
      </c>
      <c r="AA63" t="s">
        <v>120</v>
      </c>
      <c r="AC63" s="7"/>
    </row>
    <row r="64" spans="1:29" ht="12.75" customHeight="1" hidden="1">
      <c r="A64" s="22"/>
      <c r="B64" s="22"/>
      <c r="C64" s="22"/>
      <c r="D64" s="22"/>
      <c r="E64" s="22"/>
      <c r="F64" s="23"/>
      <c r="G64" s="23"/>
      <c r="H64" s="23"/>
      <c r="I64" s="23"/>
      <c r="J64" s="23"/>
      <c r="K64" s="23"/>
      <c r="L64" s="36"/>
      <c r="M64" s="42"/>
      <c r="N64" s="23"/>
      <c r="O64" s="23"/>
      <c r="P64" s="23"/>
      <c r="Q64" s="4"/>
      <c r="Z64">
        <v>60</v>
      </c>
      <c r="AA64" t="s">
        <v>121</v>
      </c>
      <c r="AC64" s="7"/>
    </row>
    <row r="65" spans="1:29" ht="12.75" customHeight="1" hidden="1">
      <c r="A65" s="22"/>
      <c r="B65" s="22"/>
      <c r="C65" s="22"/>
      <c r="D65" s="22"/>
      <c r="E65" s="22"/>
      <c r="F65" s="23"/>
      <c r="G65" s="23"/>
      <c r="H65" s="23"/>
      <c r="I65" s="23"/>
      <c r="J65" s="23"/>
      <c r="K65" s="23"/>
      <c r="L65" s="36"/>
      <c r="M65" s="42"/>
      <c r="N65" s="23"/>
      <c r="O65" s="23"/>
      <c r="P65" s="23"/>
      <c r="Q65" s="4"/>
      <c r="Z65">
        <v>61</v>
      </c>
      <c r="AA65" t="s">
        <v>122</v>
      </c>
      <c r="AC65" s="7"/>
    </row>
    <row r="66" spans="1:29" ht="12.75" customHeight="1" hidden="1">
      <c r="A66" s="22"/>
      <c r="B66" s="22"/>
      <c r="C66" s="22"/>
      <c r="D66" s="22"/>
      <c r="E66" s="22"/>
      <c r="F66" s="23"/>
      <c r="G66" s="23"/>
      <c r="H66" s="23"/>
      <c r="I66" s="23"/>
      <c r="J66" s="23"/>
      <c r="K66" s="23"/>
      <c r="L66" s="36"/>
      <c r="M66" s="42"/>
      <c r="N66" s="23"/>
      <c r="O66" s="23"/>
      <c r="P66" s="23"/>
      <c r="Q66" s="4"/>
      <c r="Z66">
        <v>62</v>
      </c>
      <c r="AA66" t="s">
        <v>123</v>
      </c>
      <c r="AC66" s="7"/>
    </row>
    <row r="67" spans="1:29" ht="12.75" customHeight="1" hidden="1">
      <c r="A67" s="22"/>
      <c r="B67" s="22"/>
      <c r="C67" s="22"/>
      <c r="D67" s="22"/>
      <c r="E67" s="22"/>
      <c r="F67" s="23"/>
      <c r="G67" s="23"/>
      <c r="H67" s="23"/>
      <c r="I67" s="23"/>
      <c r="J67" s="23"/>
      <c r="K67" s="23"/>
      <c r="L67" s="36"/>
      <c r="M67" s="42"/>
      <c r="N67" s="23"/>
      <c r="O67" s="23"/>
      <c r="P67" s="23"/>
      <c r="Q67" s="4"/>
      <c r="Z67">
        <v>63</v>
      </c>
      <c r="AA67" t="s">
        <v>124</v>
      </c>
      <c r="AC67" s="7"/>
    </row>
    <row r="68" spans="1:29" ht="12.75" customHeight="1" hidden="1">
      <c r="A68" s="22"/>
      <c r="B68" s="22"/>
      <c r="C68" s="22"/>
      <c r="D68" s="22"/>
      <c r="E68" s="22"/>
      <c r="F68" s="23"/>
      <c r="G68" s="23"/>
      <c r="H68" s="23"/>
      <c r="I68" s="23"/>
      <c r="J68" s="23"/>
      <c r="K68" s="23"/>
      <c r="L68" s="36"/>
      <c r="M68" s="42"/>
      <c r="N68" s="23"/>
      <c r="O68" s="23"/>
      <c r="P68" s="23"/>
      <c r="Q68" s="4"/>
      <c r="Z68">
        <v>64</v>
      </c>
      <c r="AA68" t="s">
        <v>125</v>
      </c>
      <c r="AC68" s="7"/>
    </row>
    <row r="69" spans="1:29" ht="12.75" customHeight="1" hidden="1">
      <c r="A69" s="22"/>
      <c r="B69" s="22"/>
      <c r="C69" s="22"/>
      <c r="D69" s="22"/>
      <c r="E69" s="22"/>
      <c r="F69" s="23"/>
      <c r="G69" s="23"/>
      <c r="H69" s="23"/>
      <c r="I69" s="23"/>
      <c r="J69" s="23"/>
      <c r="K69" s="23"/>
      <c r="L69" s="36"/>
      <c r="M69" s="42"/>
      <c r="N69" s="23"/>
      <c r="O69" s="23"/>
      <c r="P69" s="23"/>
      <c r="Q69" s="4"/>
      <c r="Z69">
        <v>65</v>
      </c>
      <c r="AA69" t="s">
        <v>126</v>
      </c>
      <c r="AC69" s="7"/>
    </row>
    <row r="70" spans="1:29" ht="12.75" customHeight="1" hidden="1">
      <c r="A70" s="22"/>
      <c r="B70" s="22"/>
      <c r="C70" s="22"/>
      <c r="D70" s="22"/>
      <c r="E70" s="22"/>
      <c r="F70" s="23"/>
      <c r="G70" s="23"/>
      <c r="H70" s="23"/>
      <c r="I70" s="23"/>
      <c r="J70" s="23"/>
      <c r="K70" s="23"/>
      <c r="L70" s="36"/>
      <c r="M70" s="42"/>
      <c r="N70" s="23"/>
      <c r="O70" s="23"/>
      <c r="P70" s="23"/>
      <c r="Q70" s="4"/>
      <c r="Z70">
        <v>66</v>
      </c>
      <c r="AA70" t="s">
        <v>127</v>
      </c>
      <c r="AC70" s="7"/>
    </row>
    <row r="71" spans="1:29" ht="12.75" customHeight="1" hidden="1">
      <c r="A71" s="22"/>
      <c r="B71" s="22"/>
      <c r="C71" s="22"/>
      <c r="D71" s="22"/>
      <c r="E71" s="22"/>
      <c r="F71" s="23"/>
      <c r="G71" s="23"/>
      <c r="H71" s="23"/>
      <c r="I71" s="23"/>
      <c r="J71" s="23"/>
      <c r="K71" s="23"/>
      <c r="L71" s="36"/>
      <c r="M71" s="42"/>
      <c r="N71" s="23"/>
      <c r="O71" s="23"/>
      <c r="P71" s="23"/>
      <c r="Q71" s="4"/>
      <c r="Z71">
        <v>67</v>
      </c>
      <c r="AA71" t="s">
        <v>128</v>
      </c>
      <c r="AC71" s="7"/>
    </row>
    <row r="72" spans="1:29" ht="12.75" customHeight="1" hidden="1">
      <c r="A72" s="22"/>
      <c r="B72" s="22"/>
      <c r="C72" s="22"/>
      <c r="D72" s="22"/>
      <c r="E72" s="22"/>
      <c r="F72" s="23"/>
      <c r="G72" s="23"/>
      <c r="H72" s="23"/>
      <c r="I72" s="23"/>
      <c r="J72" s="23"/>
      <c r="K72" s="23"/>
      <c r="L72" s="36"/>
      <c r="M72" s="42"/>
      <c r="N72" s="23"/>
      <c r="O72" s="23"/>
      <c r="P72" s="23"/>
      <c r="Q72" s="4"/>
      <c r="Z72">
        <v>68</v>
      </c>
      <c r="AA72" t="s">
        <v>129</v>
      </c>
      <c r="AC72" s="7"/>
    </row>
    <row r="73" spans="1:29" ht="12.75" customHeight="1" hidden="1">
      <c r="A73" s="22"/>
      <c r="B73" s="22"/>
      <c r="C73" s="22"/>
      <c r="D73" s="22"/>
      <c r="E73" s="22"/>
      <c r="F73" s="23"/>
      <c r="G73" s="23"/>
      <c r="H73" s="23"/>
      <c r="I73" s="23"/>
      <c r="J73" s="23"/>
      <c r="K73" s="23"/>
      <c r="L73" s="36"/>
      <c r="M73" s="42"/>
      <c r="N73" s="23"/>
      <c r="O73" s="23"/>
      <c r="P73" s="23"/>
      <c r="Q73" s="4"/>
      <c r="Z73">
        <v>69</v>
      </c>
      <c r="AA73" t="s">
        <v>130</v>
      </c>
      <c r="AC73" s="7"/>
    </row>
    <row r="74" spans="1:29" ht="12.75" customHeight="1" hidden="1">
      <c r="A74" s="22"/>
      <c r="B74" s="22"/>
      <c r="C74" s="22"/>
      <c r="D74" s="22"/>
      <c r="E74" s="22"/>
      <c r="F74" s="23"/>
      <c r="G74" s="23"/>
      <c r="H74" s="23"/>
      <c r="I74" s="23"/>
      <c r="J74" s="23"/>
      <c r="K74" s="23"/>
      <c r="L74" s="36"/>
      <c r="M74" s="42"/>
      <c r="N74" s="23"/>
      <c r="O74" s="23"/>
      <c r="P74" s="23"/>
      <c r="Q74" s="4"/>
      <c r="Z74">
        <v>70</v>
      </c>
      <c r="AA74" t="s">
        <v>131</v>
      </c>
      <c r="AC74" s="7"/>
    </row>
    <row r="75" spans="1:29" ht="12.75" customHeight="1" hidden="1">
      <c r="A75" s="22"/>
      <c r="B75" s="22"/>
      <c r="C75" s="22"/>
      <c r="D75" s="22"/>
      <c r="E75" s="22"/>
      <c r="F75" s="23"/>
      <c r="G75" s="23"/>
      <c r="H75" s="23"/>
      <c r="I75" s="23"/>
      <c r="J75" s="23"/>
      <c r="K75" s="23"/>
      <c r="L75" s="36"/>
      <c r="M75" s="42"/>
      <c r="N75" s="23"/>
      <c r="O75" s="23"/>
      <c r="P75" s="23"/>
      <c r="Q75" s="4"/>
      <c r="Z75">
        <v>71</v>
      </c>
      <c r="AA75" t="s">
        <v>132</v>
      </c>
      <c r="AC75" s="7"/>
    </row>
    <row r="76" spans="1:29" ht="12.75" customHeight="1" hidden="1">
      <c r="A76" s="22"/>
      <c r="B76" s="22"/>
      <c r="C76" s="22"/>
      <c r="D76" s="22"/>
      <c r="E76" s="22"/>
      <c r="F76" s="23"/>
      <c r="G76" s="23"/>
      <c r="H76" s="23"/>
      <c r="I76" s="23"/>
      <c r="J76" s="23"/>
      <c r="K76" s="23"/>
      <c r="L76" s="36"/>
      <c r="M76" s="42"/>
      <c r="N76" s="23"/>
      <c r="O76" s="23"/>
      <c r="P76" s="23"/>
      <c r="Q76" s="4"/>
      <c r="Z76">
        <v>72</v>
      </c>
      <c r="AA76" t="s">
        <v>133</v>
      </c>
      <c r="AC76" s="7"/>
    </row>
    <row r="77" spans="1:29" ht="12.75" customHeight="1" hidden="1">
      <c r="A77" s="22"/>
      <c r="B77" s="22"/>
      <c r="C77" s="22"/>
      <c r="D77" s="22"/>
      <c r="E77" s="22"/>
      <c r="F77" s="23"/>
      <c r="G77" s="23"/>
      <c r="H77" s="23"/>
      <c r="I77" s="23"/>
      <c r="J77" s="23"/>
      <c r="K77" s="23"/>
      <c r="L77" s="36"/>
      <c r="M77" s="42"/>
      <c r="N77" s="23"/>
      <c r="O77" s="23"/>
      <c r="P77" s="23"/>
      <c r="Q77" s="4"/>
      <c r="Z77">
        <v>73</v>
      </c>
      <c r="AA77" t="s">
        <v>134</v>
      </c>
      <c r="AC77" s="7"/>
    </row>
    <row r="78" spans="1:29" ht="12.75" customHeight="1" hidden="1" thickBot="1">
      <c r="A78" s="22"/>
      <c r="B78" s="22"/>
      <c r="C78" s="47" t="s">
        <v>214</v>
      </c>
      <c r="D78" s="47"/>
      <c r="E78" s="22"/>
      <c r="F78" s="23"/>
      <c r="G78" s="23"/>
      <c r="H78" s="23"/>
      <c r="I78" s="23"/>
      <c r="J78" s="23"/>
      <c r="K78" s="23"/>
      <c r="L78" s="36"/>
      <c r="M78" s="42"/>
      <c r="N78" s="23"/>
      <c r="O78" s="23"/>
      <c r="P78" s="23"/>
      <c r="Q78" s="4"/>
      <c r="Z78">
        <v>74</v>
      </c>
      <c r="AA78" t="s">
        <v>135</v>
      </c>
      <c r="AC78" s="7"/>
    </row>
    <row r="79" spans="1:29" ht="12.75" customHeight="1" hidden="1">
      <c r="A79" s="22"/>
      <c r="B79" s="22"/>
      <c r="C79" s="48"/>
      <c r="D79" s="49"/>
      <c r="E79" s="49"/>
      <c r="F79" s="49"/>
      <c r="G79" s="49"/>
      <c r="H79" s="49"/>
      <c r="I79" s="49"/>
      <c r="J79" s="49"/>
      <c r="K79" s="49"/>
      <c r="L79" s="50"/>
      <c r="M79" s="51" t="s">
        <v>159</v>
      </c>
      <c r="N79" s="49"/>
      <c r="O79" s="52"/>
      <c r="P79" s="23"/>
      <c r="Q79" s="4"/>
      <c r="Z79">
        <v>75</v>
      </c>
      <c r="AA79" t="s">
        <v>136</v>
      </c>
      <c r="AC79" s="7"/>
    </row>
    <row r="80" spans="1:29" ht="12.75" customHeight="1" hidden="1">
      <c r="A80" s="22"/>
      <c r="B80" s="22"/>
      <c r="C80" s="53"/>
      <c r="D80" s="22"/>
      <c r="E80" s="22"/>
      <c r="F80" s="22"/>
      <c r="G80" s="22"/>
      <c r="H80" s="28" t="s">
        <v>12</v>
      </c>
      <c r="I80" s="28" t="s">
        <v>12</v>
      </c>
      <c r="J80" s="28"/>
      <c r="K80" s="28" t="s">
        <v>46</v>
      </c>
      <c r="L80" s="36"/>
      <c r="M80" s="28" t="s">
        <v>12</v>
      </c>
      <c r="N80" s="28"/>
      <c r="O80" s="54"/>
      <c r="P80" s="23"/>
      <c r="Q80" s="4"/>
      <c r="Z80">
        <v>76</v>
      </c>
      <c r="AA80" t="s">
        <v>137</v>
      </c>
      <c r="AC80" s="7"/>
    </row>
    <row r="81" spans="1:29" ht="12.75" customHeight="1" hidden="1">
      <c r="A81" s="22"/>
      <c r="B81" s="22"/>
      <c r="C81" s="53"/>
      <c r="D81" s="22"/>
      <c r="E81" s="22"/>
      <c r="F81" s="22"/>
      <c r="G81" s="22"/>
      <c r="H81" s="28" t="s">
        <v>4</v>
      </c>
      <c r="I81" s="28" t="s">
        <v>46</v>
      </c>
      <c r="J81" s="55" t="s">
        <v>5</v>
      </c>
      <c r="K81" s="28" t="s">
        <v>155</v>
      </c>
      <c r="L81" s="36" t="s">
        <v>16</v>
      </c>
      <c r="M81" s="28" t="s">
        <v>46</v>
      </c>
      <c r="N81" s="28"/>
      <c r="O81" s="54"/>
      <c r="P81" s="23"/>
      <c r="Q81" s="4"/>
      <c r="Z81">
        <v>77</v>
      </c>
      <c r="AA81" t="s">
        <v>138</v>
      </c>
      <c r="AC81" s="7"/>
    </row>
    <row r="82" spans="1:29" ht="12.75" customHeight="1" hidden="1">
      <c r="A82" s="22"/>
      <c r="B82" s="22"/>
      <c r="C82" s="53"/>
      <c r="D82" s="56" t="s">
        <v>15</v>
      </c>
      <c r="E82" s="190" t="s">
        <v>374</v>
      </c>
      <c r="F82" s="57" t="s">
        <v>53</v>
      </c>
      <c r="G82" s="56" t="s">
        <v>54</v>
      </c>
      <c r="H82" s="56" t="s">
        <v>40</v>
      </c>
      <c r="I82" s="58" t="s">
        <v>44</v>
      </c>
      <c r="J82" s="58" t="s">
        <v>153</v>
      </c>
      <c r="K82" s="55" t="s">
        <v>39</v>
      </c>
      <c r="L82" s="58" t="s">
        <v>153</v>
      </c>
      <c r="M82" s="36"/>
      <c r="N82" s="58" t="s">
        <v>153</v>
      </c>
      <c r="O82" s="56" t="s">
        <v>15</v>
      </c>
      <c r="P82" s="56" t="s">
        <v>15</v>
      </c>
      <c r="Q82" s="4"/>
      <c r="Z82">
        <v>78</v>
      </c>
      <c r="AA82" t="s">
        <v>139</v>
      </c>
      <c r="AC82" s="7"/>
    </row>
    <row r="83" spans="1:29" ht="12.75" customHeight="1" hidden="1">
      <c r="A83" s="22"/>
      <c r="B83" s="22"/>
      <c r="C83" s="53"/>
      <c r="D83" s="32" t="str">
        <f>CONCATENATE($D10,", ",$B10," Lift",", ",$C10)</f>
        <v>,  Lift, </v>
      </c>
      <c r="E83" s="32" t="s">
        <v>364</v>
      </c>
      <c r="F83" s="33">
        <f aca="true" t="shared" si="7" ref="F83:H92">E10</f>
        <v>1</v>
      </c>
      <c r="G83" s="33">
        <f t="shared" si="7"/>
        <v>10</v>
      </c>
      <c r="H83" s="33">
        <f t="shared" si="7"/>
        <v>10</v>
      </c>
      <c r="I83" s="59">
        <f aca="true" t="shared" si="8" ref="I83:I92">ABS(G83-F83)</f>
        <v>9</v>
      </c>
      <c r="J83" s="27">
        <f aca="true" t="shared" si="9" ref="J83:J92">I83*H83</f>
        <v>90</v>
      </c>
      <c r="K83" s="60">
        <f>'random numbers'!B200</f>
        <v>0.9889729022979736</v>
      </c>
      <c r="L83" s="27">
        <f>J83*K83</f>
        <v>89.00756120681763</v>
      </c>
      <c r="M83" s="35">
        <f aca="true" t="shared" si="10" ref="M83:M92">IF(E10&lt;F10,1,IF(E10=F10,0,IF(E10&gt;F10,-1,"NOT")))</f>
        <v>1</v>
      </c>
      <c r="N83" s="61">
        <v>0</v>
      </c>
      <c r="O83" s="32" t="str">
        <f>E83</f>
        <v>A</v>
      </c>
      <c r="P83" s="32" t="str">
        <f aca="true" t="shared" si="11" ref="P83:P92">CONCATENATE($D10,", ",$B10," Lift",", ",$C10)</f>
        <v>,  Lift, </v>
      </c>
      <c r="Q83" s="4"/>
      <c r="Z83">
        <v>79</v>
      </c>
      <c r="AA83" t="s">
        <v>140</v>
      </c>
      <c r="AC83" s="7"/>
    </row>
    <row r="84" spans="1:29" ht="12.75" customHeight="1" hidden="1">
      <c r="A84" s="22"/>
      <c r="B84" s="22"/>
      <c r="C84" s="53"/>
      <c r="D84" s="32" t="str">
        <f aca="true" t="shared" si="12" ref="D84:D92">CONCATENATE($D11,", ",$B11," Lift",", ",$C11)</f>
        <v>,  Lift, </v>
      </c>
      <c r="E84" s="32" t="s">
        <v>365</v>
      </c>
      <c r="F84" s="33">
        <f t="shared" si="7"/>
        <v>0</v>
      </c>
      <c r="G84" s="33">
        <f t="shared" si="7"/>
        <v>0</v>
      </c>
      <c r="H84" s="33">
        <f t="shared" si="7"/>
        <v>0</v>
      </c>
      <c r="I84" s="59">
        <f t="shared" si="8"/>
        <v>0</v>
      </c>
      <c r="J84" s="27">
        <f t="shared" si="9"/>
        <v>0</v>
      </c>
      <c r="K84" s="60">
        <f>'random numbers'!B201</f>
        <v>0.8531307578086853</v>
      </c>
      <c r="L84" s="27">
        <f aca="true" t="shared" si="13" ref="L84:L92">J84*K84</f>
        <v>0</v>
      </c>
      <c r="M84" s="35">
        <f t="shared" si="10"/>
        <v>0</v>
      </c>
      <c r="N84" s="61">
        <f>J83</f>
        <v>90</v>
      </c>
      <c r="O84" s="32" t="str">
        <f aca="true" t="shared" si="14" ref="O84:O92">E84</f>
        <v>B</v>
      </c>
      <c r="P84" s="32" t="str">
        <f t="shared" si="11"/>
        <v>,  Lift, </v>
      </c>
      <c r="Q84" s="4"/>
      <c r="Z84">
        <v>80</v>
      </c>
      <c r="AA84" t="s">
        <v>141</v>
      </c>
      <c r="AC84" s="7"/>
    </row>
    <row r="85" spans="1:29" ht="12.75" customHeight="1" hidden="1">
      <c r="A85" s="22"/>
      <c r="B85" s="22"/>
      <c r="C85" s="53"/>
      <c r="D85" s="32" t="str">
        <f t="shared" si="12"/>
        <v>,  Lift, </v>
      </c>
      <c r="E85" s="32" t="s">
        <v>366</v>
      </c>
      <c r="F85" s="33">
        <f t="shared" si="7"/>
        <v>0</v>
      </c>
      <c r="G85" s="33">
        <f t="shared" si="7"/>
        <v>0</v>
      </c>
      <c r="H85" s="33">
        <f t="shared" si="7"/>
        <v>0</v>
      </c>
      <c r="I85" s="59">
        <f t="shared" si="8"/>
        <v>0</v>
      </c>
      <c r="J85" s="27">
        <f t="shared" si="9"/>
        <v>0</v>
      </c>
      <c r="K85" s="60">
        <f>'random numbers'!B202</f>
        <v>0.1729496717453003</v>
      </c>
      <c r="L85" s="27">
        <f t="shared" si="13"/>
        <v>0</v>
      </c>
      <c r="M85" s="35">
        <f t="shared" si="10"/>
        <v>0</v>
      </c>
      <c r="N85" s="61">
        <f>SUM($J$83:J84)</f>
        <v>90</v>
      </c>
      <c r="O85" s="32" t="str">
        <f t="shared" si="14"/>
        <v>C</v>
      </c>
      <c r="P85" s="32" t="str">
        <f t="shared" si="11"/>
        <v>,  Lift, </v>
      </c>
      <c r="Q85" s="4"/>
      <c r="Z85">
        <v>81</v>
      </c>
      <c r="AA85" t="s">
        <v>142</v>
      </c>
      <c r="AC85" s="7"/>
    </row>
    <row r="86" spans="1:29" ht="12.75" customHeight="1" hidden="1">
      <c r="A86" s="22"/>
      <c r="B86" s="22"/>
      <c r="C86" s="53"/>
      <c r="D86" s="32" t="str">
        <f t="shared" si="12"/>
        <v>,  Lift, </v>
      </c>
      <c r="E86" s="32" t="s">
        <v>367</v>
      </c>
      <c r="F86" s="33">
        <f t="shared" si="7"/>
        <v>0</v>
      </c>
      <c r="G86" s="33">
        <f t="shared" si="7"/>
        <v>0</v>
      </c>
      <c r="H86" s="33">
        <f t="shared" si="7"/>
        <v>0</v>
      </c>
      <c r="I86" s="59">
        <f t="shared" si="8"/>
        <v>0</v>
      </c>
      <c r="J86" s="27">
        <f t="shared" si="9"/>
        <v>0</v>
      </c>
      <c r="K86" s="60">
        <f>'random numbers'!B203</f>
        <v>0.6641154885292053</v>
      </c>
      <c r="L86" s="27">
        <f t="shared" si="13"/>
        <v>0</v>
      </c>
      <c r="M86" s="35">
        <f t="shared" si="10"/>
        <v>0</v>
      </c>
      <c r="N86" s="61">
        <f>SUM($J$83:J85)</f>
        <v>90</v>
      </c>
      <c r="O86" s="32" t="str">
        <f t="shared" si="14"/>
        <v>D</v>
      </c>
      <c r="P86" s="32" t="str">
        <f t="shared" si="11"/>
        <v>,  Lift, </v>
      </c>
      <c r="Q86" s="4"/>
      <c r="Z86">
        <v>82</v>
      </c>
      <c r="AA86" t="s">
        <v>143</v>
      </c>
      <c r="AC86" s="7"/>
    </row>
    <row r="87" spans="1:29" ht="12.75" customHeight="1" hidden="1">
      <c r="A87" s="22"/>
      <c r="B87" s="22"/>
      <c r="C87" s="53"/>
      <c r="D87" s="32" t="str">
        <f t="shared" si="12"/>
        <v>,  Lift, </v>
      </c>
      <c r="E87" s="32" t="s">
        <v>368</v>
      </c>
      <c r="F87" s="33">
        <f t="shared" si="7"/>
        <v>0</v>
      </c>
      <c r="G87" s="33">
        <f t="shared" si="7"/>
        <v>0</v>
      </c>
      <c r="H87" s="33">
        <f t="shared" si="7"/>
        <v>0</v>
      </c>
      <c r="I87" s="59">
        <f t="shared" si="8"/>
        <v>0</v>
      </c>
      <c r="J87" s="27">
        <f t="shared" si="9"/>
        <v>0</v>
      </c>
      <c r="K87" s="60">
        <f>'random numbers'!B204</f>
        <v>0.27625036239624023</v>
      </c>
      <c r="L87" s="27">
        <f t="shared" si="13"/>
        <v>0</v>
      </c>
      <c r="M87" s="35">
        <f t="shared" si="10"/>
        <v>0</v>
      </c>
      <c r="N87" s="61">
        <f>SUM($J$83:J86)</f>
        <v>90</v>
      </c>
      <c r="O87" s="32" t="str">
        <f t="shared" si="14"/>
        <v>E</v>
      </c>
      <c r="P87" s="32" t="str">
        <f t="shared" si="11"/>
        <v>,  Lift, </v>
      </c>
      <c r="Q87" s="4"/>
      <c r="Z87">
        <v>83</v>
      </c>
      <c r="AA87" t="s">
        <v>144</v>
      </c>
      <c r="AC87" s="7"/>
    </row>
    <row r="88" spans="1:29" ht="12.75" customHeight="1" hidden="1">
      <c r="A88" s="22"/>
      <c r="B88" s="22"/>
      <c r="C88" s="53"/>
      <c r="D88" s="32" t="str">
        <f t="shared" si="12"/>
        <v>,  Lift, </v>
      </c>
      <c r="E88" s="32" t="s">
        <v>369</v>
      </c>
      <c r="F88" s="33">
        <f t="shared" si="7"/>
        <v>0</v>
      </c>
      <c r="G88" s="33">
        <f t="shared" si="7"/>
        <v>0</v>
      </c>
      <c r="H88" s="33">
        <f t="shared" si="7"/>
        <v>0</v>
      </c>
      <c r="I88" s="59">
        <f t="shared" si="8"/>
        <v>0</v>
      </c>
      <c r="J88" s="27">
        <f t="shared" si="9"/>
        <v>0</v>
      </c>
      <c r="K88" s="60">
        <f>'random numbers'!B205</f>
        <v>0.8704487681388855</v>
      </c>
      <c r="L88" s="27">
        <f t="shared" si="13"/>
        <v>0</v>
      </c>
      <c r="M88" s="35">
        <f t="shared" si="10"/>
        <v>0</v>
      </c>
      <c r="N88" s="61">
        <f>SUM($J$83:J87)</f>
        <v>90</v>
      </c>
      <c r="O88" s="32" t="str">
        <f t="shared" si="14"/>
        <v>F</v>
      </c>
      <c r="P88" s="32" t="str">
        <f t="shared" si="11"/>
        <v>,  Lift, </v>
      </c>
      <c r="Q88" s="4"/>
      <c r="Z88">
        <v>84</v>
      </c>
      <c r="AA88" t="s">
        <v>145</v>
      </c>
      <c r="AC88" s="7"/>
    </row>
    <row r="89" spans="1:29" ht="12.75" customHeight="1" hidden="1">
      <c r="A89" s="22"/>
      <c r="B89" s="22"/>
      <c r="C89" s="53"/>
      <c r="D89" s="32" t="str">
        <f t="shared" si="12"/>
        <v>,  Lift, </v>
      </c>
      <c r="E89" s="32" t="s">
        <v>370</v>
      </c>
      <c r="F89" s="33">
        <f t="shared" si="7"/>
        <v>0</v>
      </c>
      <c r="G89" s="33">
        <f t="shared" si="7"/>
        <v>0</v>
      </c>
      <c r="H89" s="33">
        <f t="shared" si="7"/>
        <v>0</v>
      </c>
      <c r="I89" s="59">
        <f t="shared" si="8"/>
        <v>0</v>
      </c>
      <c r="J89" s="27">
        <f t="shared" si="9"/>
        <v>0</v>
      </c>
      <c r="K89" s="60">
        <f>'random numbers'!B206</f>
        <v>0.7335444688796997</v>
      </c>
      <c r="L89" s="27">
        <f t="shared" si="13"/>
        <v>0</v>
      </c>
      <c r="M89" s="35">
        <f t="shared" si="10"/>
        <v>0</v>
      </c>
      <c r="N89" s="61">
        <f>SUM($J$83:J88)</f>
        <v>90</v>
      </c>
      <c r="O89" s="32" t="str">
        <f t="shared" si="14"/>
        <v>G</v>
      </c>
      <c r="P89" s="32" t="str">
        <f t="shared" si="11"/>
        <v>,  Lift, </v>
      </c>
      <c r="Q89" s="4"/>
      <c r="Z89">
        <v>85</v>
      </c>
      <c r="AA89" t="s">
        <v>146</v>
      </c>
      <c r="AC89" s="7"/>
    </row>
    <row r="90" spans="1:27" ht="12.75" customHeight="1" hidden="1">
      <c r="A90" s="22"/>
      <c r="B90" s="22"/>
      <c r="C90" s="53"/>
      <c r="D90" s="32" t="str">
        <f t="shared" si="12"/>
        <v>,  Lift, </v>
      </c>
      <c r="E90" s="32" t="s">
        <v>371</v>
      </c>
      <c r="F90" s="33">
        <f t="shared" si="7"/>
        <v>0</v>
      </c>
      <c r="G90" s="33">
        <f t="shared" si="7"/>
        <v>0</v>
      </c>
      <c r="H90" s="33">
        <f t="shared" si="7"/>
        <v>0</v>
      </c>
      <c r="I90" s="59">
        <f t="shared" si="8"/>
        <v>0</v>
      </c>
      <c r="J90" s="27">
        <f t="shared" si="9"/>
        <v>0</v>
      </c>
      <c r="K90" s="60">
        <f>'random numbers'!B207</f>
        <v>0.3946846127510071</v>
      </c>
      <c r="L90" s="27">
        <f t="shared" si="13"/>
        <v>0</v>
      </c>
      <c r="M90" s="35">
        <f t="shared" si="10"/>
        <v>0</v>
      </c>
      <c r="N90" s="61">
        <f>SUM($J$83:J89)</f>
        <v>90</v>
      </c>
      <c r="O90" s="32" t="str">
        <f t="shared" si="14"/>
        <v>H</v>
      </c>
      <c r="P90" s="32" t="str">
        <f t="shared" si="11"/>
        <v>,  Lift, </v>
      </c>
      <c r="Q90" s="4"/>
      <c r="Z90">
        <v>86</v>
      </c>
      <c r="AA90" t="s">
        <v>147</v>
      </c>
    </row>
    <row r="91" spans="1:27" ht="12.75" customHeight="1" hidden="1">
      <c r="A91" s="22"/>
      <c r="B91" s="22"/>
      <c r="C91" s="53"/>
      <c r="D91" s="32" t="str">
        <f t="shared" si="12"/>
        <v>,  Lift, </v>
      </c>
      <c r="E91" s="32" t="s">
        <v>372</v>
      </c>
      <c r="F91" s="33">
        <f t="shared" si="7"/>
        <v>0</v>
      </c>
      <c r="G91" s="33">
        <f t="shared" si="7"/>
        <v>0</v>
      </c>
      <c r="H91" s="33">
        <f t="shared" si="7"/>
        <v>0</v>
      </c>
      <c r="I91" s="59">
        <f t="shared" si="8"/>
        <v>0</v>
      </c>
      <c r="J91" s="27">
        <f t="shared" si="9"/>
        <v>0</v>
      </c>
      <c r="K91" s="60">
        <f>'random numbers'!B208</f>
        <v>0.09748244285583496</v>
      </c>
      <c r="L91" s="27">
        <f t="shared" si="13"/>
        <v>0</v>
      </c>
      <c r="M91" s="35">
        <f t="shared" si="10"/>
        <v>0</v>
      </c>
      <c r="N91" s="61">
        <f>SUM($J$83:J90)</f>
        <v>90</v>
      </c>
      <c r="O91" s="32" t="str">
        <f t="shared" si="14"/>
        <v>I</v>
      </c>
      <c r="P91" s="32" t="str">
        <f t="shared" si="11"/>
        <v>,  Lift, </v>
      </c>
      <c r="Q91" s="4"/>
      <c r="Z91">
        <v>87</v>
      </c>
      <c r="AA91" t="s">
        <v>148</v>
      </c>
    </row>
    <row r="92" spans="1:17" ht="12.75" customHeight="1" hidden="1">
      <c r="A92" s="22"/>
      <c r="B92" s="22"/>
      <c r="C92" s="53"/>
      <c r="D92" s="32" t="str">
        <f t="shared" si="12"/>
        <v>,  Lift, </v>
      </c>
      <c r="E92" s="32" t="s">
        <v>373</v>
      </c>
      <c r="F92" s="33">
        <f t="shared" si="7"/>
        <v>0</v>
      </c>
      <c r="G92" s="33">
        <f t="shared" si="7"/>
        <v>0</v>
      </c>
      <c r="H92" s="33">
        <f t="shared" si="7"/>
        <v>0</v>
      </c>
      <c r="I92" s="59">
        <f t="shared" si="8"/>
        <v>0</v>
      </c>
      <c r="J92" s="27">
        <f t="shared" si="9"/>
        <v>0</v>
      </c>
      <c r="K92" s="60">
        <f>'random numbers'!B209</f>
        <v>0.6179341673851013</v>
      </c>
      <c r="L92" s="27">
        <f t="shared" si="13"/>
        <v>0</v>
      </c>
      <c r="M92" s="35">
        <f t="shared" si="10"/>
        <v>0</v>
      </c>
      <c r="N92" s="61">
        <f>SUM($J$83:J91)</f>
        <v>90</v>
      </c>
      <c r="O92" s="32" t="str">
        <f t="shared" si="14"/>
        <v>J</v>
      </c>
      <c r="P92" s="32" t="str">
        <f t="shared" si="11"/>
        <v>,  Lift, </v>
      </c>
      <c r="Q92" s="4"/>
    </row>
    <row r="93" spans="1:17" ht="12.75" customHeight="1" hidden="1">
      <c r="A93" s="22"/>
      <c r="B93" s="22"/>
      <c r="C93" s="53"/>
      <c r="D93" s="22"/>
      <c r="F93" s="22"/>
      <c r="G93" s="22"/>
      <c r="H93" s="22"/>
      <c r="I93" s="22"/>
      <c r="J93" s="22"/>
      <c r="K93" s="22"/>
      <c r="L93" s="22"/>
      <c r="M93" s="36"/>
      <c r="N93" s="42"/>
      <c r="O93" s="22"/>
      <c r="P93" s="23"/>
      <c r="Q93" s="4"/>
    </row>
    <row r="94" spans="1:17" ht="12.75" customHeight="1" hidden="1">
      <c r="A94" s="22"/>
      <c r="B94" s="22"/>
      <c r="C94" s="53"/>
      <c r="D94" s="22"/>
      <c r="F94" s="22"/>
      <c r="G94" s="22"/>
      <c r="H94" s="22"/>
      <c r="I94" s="22"/>
      <c r="J94" s="28" t="s">
        <v>154</v>
      </c>
      <c r="K94" s="28" t="s">
        <v>36</v>
      </c>
      <c r="L94" s="22" t="s">
        <v>157</v>
      </c>
      <c r="M94" s="36"/>
      <c r="N94" s="42"/>
      <c r="O94" s="22"/>
      <c r="P94" s="23"/>
      <c r="Q94" s="4"/>
    </row>
    <row r="95" spans="1:17" ht="12.75" customHeight="1" hidden="1" thickBot="1">
      <c r="A95" s="22"/>
      <c r="B95" s="22"/>
      <c r="C95" s="62"/>
      <c r="D95" s="63"/>
      <c r="F95" s="63"/>
      <c r="G95" s="63"/>
      <c r="H95" s="63"/>
      <c r="I95" s="63"/>
      <c r="J95" s="64">
        <f>SUM(J83:J92)</f>
        <v>90</v>
      </c>
      <c r="K95" s="64">
        <f>IF(K13="","",K13)</f>
        <v>1</v>
      </c>
      <c r="L95" s="63">
        <f>J95/K95</f>
        <v>90</v>
      </c>
      <c r="M95" s="65"/>
      <c r="N95" s="66"/>
      <c r="O95" s="63"/>
      <c r="P95" s="23"/>
      <c r="Q95" s="4"/>
    </row>
    <row r="96" spans="1:17" ht="12.75" customHeight="1" hidden="1">
      <c r="A96" s="22"/>
      <c r="B96" s="22"/>
      <c r="C96" s="22"/>
      <c r="D96" s="23"/>
      <c r="E96" s="23"/>
      <c r="F96" s="23"/>
      <c r="G96" s="23"/>
      <c r="H96" s="23"/>
      <c r="I96" s="34"/>
      <c r="J96" s="23"/>
      <c r="K96" s="23"/>
      <c r="L96" s="36"/>
      <c r="M96" s="42"/>
      <c r="N96" s="23"/>
      <c r="O96" s="23"/>
      <c r="P96" s="23"/>
      <c r="Q96" s="4"/>
    </row>
    <row r="97" spans="1:17" ht="12.75" customHeight="1" hidden="1">
      <c r="A97" s="22"/>
      <c r="B97" s="22"/>
      <c r="C97" s="47" t="s">
        <v>168</v>
      </c>
      <c r="D97" s="68"/>
      <c r="E97" s="68"/>
      <c r="F97" s="23"/>
      <c r="G97" s="23"/>
      <c r="H97" s="23"/>
      <c r="I97" s="34"/>
      <c r="J97" s="23"/>
      <c r="K97" s="23"/>
      <c r="L97" s="36"/>
      <c r="M97" s="42"/>
      <c r="N97" s="23"/>
      <c r="O97" s="23"/>
      <c r="P97" s="23"/>
      <c r="Q97" s="4"/>
    </row>
    <row r="98" spans="1:17" ht="12.75" customHeight="1" hidden="1" thickBot="1">
      <c r="A98" s="22"/>
      <c r="B98" s="22"/>
      <c r="C98" s="22"/>
      <c r="D98" s="34" t="s">
        <v>164</v>
      </c>
      <c r="E98" s="34">
        <f>$B$26</f>
        <v>1</v>
      </c>
      <c r="F98" s="34">
        <f>$B$26</f>
        <v>1</v>
      </c>
      <c r="G98" s="34">
        <f>$B$26+1</f>
        <v>2</v>
      </c>
      <c r="H98" s="34">
        <f>$B$26+1</f>
        <v>2</v>
      </c>
      <c r="I98" s="34">
        <f>$B$26+2</f>
        <v>3</v>
      </c>
      <c r="J98" s="34">
        <f>$B$26+2</f>
        <v>3</v>
      </c>
      <c r="K98" s="34">
        <f>$B$26+3</f>
        <v>4</v>
      </c>
      <c r="L98" s="34">
        <f>$B$26+3</f>
        <v>4</v>
      </c>
      <c r="M98" s="34">
        <f>$B$26+4</f>
        <v>5</v>
      </c>
      <c r="N98" s="34">
        <f>$B$26+4</f>
        <v>5</v>
      </c>
      <c r="O98" s="34">
        <f>$B$26+5</f>
        <v>6</v>
      </c>
      <c r="P98" s="34">
        <f>$B$26+5</f>
        <v>6</v>
      </c>
      <c r="Q98" s="4"/>
    </row>
    <row r="99" spans="1:17" ht="12.75" customHeight="1" hidden="1">
      <c r="A99" s="22"/>
      <c r="B99" s="22"/>
      <c r="C99" s="22"/>
      <c r="D99" s="22"/>
      <c r="E99" s="69" t="s">
        <v>162</v>
      </c>
      <c r="F99" s="51" t="s">
        <v>163</v>
      </c>
      <c r="G99" s="69" t="s">
        <v>162</v>
      </c>
      <c r="H99" s="51" t="s">
        <v>163</v>
      </c>
      <c r="I99" s="69" t="s">
        <v>162</v>
      </c>
      <c r="J99" s="51" t="s">
        <v>163</v>
      </c>
      <c r="K99" s="69" t="s">
        <v>162</v>
      </c>
      <c r="L99" s="51" t="s">
        <v>163</v>
      </c>
      <c r="M99" s="69" t="s">
        <v>162</v>
      </c>
      <c r="N99" s="51" t="s">
        <v>163</v>
      </c>
      <c r="O99" s="69" t="s">
        <v>162</v>
      </c>
      <c r="P99" s="70" t="s">
        <v>163</v>
      </c>
      <c r="Q99" s="4"/>
    </row>
    <row r="100" spans="1:17" ht="12.75" customHeight="1" hidden="1">
      <c r="A100" s="22"/>
      <c r="B100" s="22"/>
      <c r="C100" s="22"/>
      <c r="D100" s="22" t="s">
        <v>156</v>
      </c>
      <c r="E100" s="71">
        <f>'random numbers'!$B$15</f>
        <v>0.8407028317451477</v>
      </c>
      <c r="F100" s="72">
        <f>'random numbers'!$B$16</f>
        <v>0.2945840358734131</v>
      </c>
      <c r="G100" s="71">
        <f>'random numbers'!$B$17</f>
        <v>0.42116063833236694</v>
      </c>
      <c r="H100" s="72">
        <f>'random numbers'!$B$18</f>
        <v>0.5142701864242554</v>
      </c>
      <c r="I100" s="71">
        <f>'random numbers'!$B$19</f>
        <v>0.003923475742340088</v>
      </c>
      <c r="J100" s="72">
        <f>'random numbers'!$B$20</f>
        <v>0.6655178070068359</v>
      </c>
      <c r="K100" s="71">
        <f>'random numbers'!$B$21</f>
        <v>0.9765722155570984</v>
      </c>
      <c r="L100" s="72">
        <f>'random numbers'!$B$22</f>
        <v>0.09339678287506104</v>
      </c>
      <c r="M100" s="71">
        <f>'random numbers'!$B$23</f>
        <v>0.7804597020149231</v>
      </c>
      <c r="N100" s="72">
        <f>'random numbers'!$B$24</f>
        <v>0.044161081314086914</v>
      </c>
      <c r="O100" s="71">
        <f>'random numbers'!$B$25</f>
        <v>0.9658865332603455</v>
      </c>
      <c r="P100" s="73">
        <f>'random numbers'!$B$26</f>
        <v>0.9997214078903198</v>
      </c>
      <c r="Q100" s="4"/>
    </row>
    <row r="101" spans="1:17" ht="12.75" customHeight="1" hidden="1">
      <c r="A101" s="22"/>
      <c r="B101" s="22"/>
      <c r="C101" s="22"/>
      <c r="D101" s="22" t="s">
        <v>158</v>
      </c>
      <c r="E101" s="74">
        <f>$L95*E100</f>
        <v>75.6632548570633</v>
      </c>
      <c r="F101" s="74">
        <f>$L95*F100</f>
        <v>26.512563228607178</v>
      </c>
      <c r="G101" s="74">
        <f>$L95+($L95*G100)</f>
        <v>127.90445744991302</v>
      </c>
      <c r="H101" s="75">
        <f>$L95+($L95*H100)</f>
        <v>136.28431677818298</v>
      </c>
      <c r="I101" s="74">
        <f>($L95*2)+($L95*I100)</f>
        <v>180.3531128168106</v>
      </c>
      <c r="J101" s="75">
        <f>($L95*2)+($L95*J100)</f>
        <v>239.89660263061523</v>
      </c>
      <c r="K101" s="74">
        <f>($L95*3)+($L95*K100)</f>
        <v>357.89149940013885</v>
      </c>
      <c r="L101" s="75">
        <f>($L95*3)+($L95*L100)</f>
        <v>278.4057104587555</v>
      </c>
      <c r="M101" s="74">
        <f>($L95*4)+($L95*M100)</f>
        <v>430.2413731813431</v>
      </c>
      <c r="N101" s="75">
        <f>($L95*4)+($L95*N100)</f>
        <v>363.9744973182678</v>
      </c>
      <c r="O101" s="74">
        <f>($L95*5)+($L95*O100)</f>
        <v>536.9297879934311</v>
      </c>
      <c r="P101" s="76">
        <f>($L95*5)+($L95*P100)</f>
        <v>539.9749267101288</v>
      </c>
      <c r="Q101" s="4"/>
    </row>
    <row r="102" spans="1:17" ht="12.75" customHeight="1" hidden="1">
      <c r="A102" s="22"/>
      <c r="B102" s="22"/>
      <c r="C102" s="22"/>
      <c r="D102" s="22" t="s">
        <v>375</v>
      </c>
      <c r="E102" s="77" t="str">
        <f aca="true" t="shared" si="15" ref="E102:P102">VLOOKUP(E101,$N$83:$O$92,2)</f>
        <v>A</v>
      </c>
      <c r="F102" s="77" t="str">
        <f t="shared" si="15"/>
        <v>A</v>
      </c>
      <c r="G102" s="77" t="str">
        <f t="shared" si="15"/>
        <v>J</v>
      </c>
      <c r="H102" s="77" t="str">
        <f t="shared" si="15"/>
        <v>J</v>
      </c>
      <c r="I102" s="77" t="str">
        <f t="shared" si="15"/>
        <v>J</v>
      </c>
      <c r="J102" s="77" t="str">
        <f t="shared" si="15"/>
        <v>J</v>
      </c>
      <c r="K102" s="77" t="str">
        <f t="shared" si="15"/>
        <v>J</v>
      </c>
      <c r="L102" s="77" t="str">
        <f t="shared" si="15"/>
        <v>J</v>
      </c>
      <c r="M102" s="77" t="str">
        <f t="shared" si="15"/>
        <v>J</v>
      </c>
      <c r="N102" s="77" t="str">
        <f t="shared" si="15"/>
        <v>J</v>
      </c>
      <c r="O102" s="77" t="str">
        <f t="shared" si="15"/>
        <v>J</v>
      </c>
      <c r="P102" s="77" t="str">
        <f t="shared" si="15"/>
        <v>J</v>
      </c>
      <c r="Q102" s="4"/>
    </row>
    <row r="103" spans="1:17" ht="12.75" customHeight="1" hidden="1">
      <c r="A103" s="22"/>
      <c r="B103" s="22"/>
      <c r="C103" s="22"/>
      <c r="D103" s="78" t="s">
        <v>160</v>
      </c>
      <c r="E103" s="77">
        <f aca="true" t="shared" si="16" ref="E103:P103">VLOOKUP(E102,$E83:$J92,6,FALSE)</f>
        <v>90</v>
      </c>
      <c r="F103" s="77">
        <f t="shared" si="16"/>
        <v>90</v>
      </c>
      <c r="G103" s="77">
        <f t="shared" si="16"/>
        <v>0</v>
      </c>
      <c r="H103" s="77">
        <f t="shared" si="16"/>
        <v>0</v>
      </c>
      <c r="I103" s="77">
        <f t="shared" si="16"/>
        <v>0</v>
      </c>
      <c r="J103" s="77">
        <f t="shared" si="16"/>
        <v>0</v>
      </c>
      <c r="K103" s="77">
        <f t="shared" si="16"/>
        <v>0</v>
      </c>
      <c r="L103" s="77">
        <f t="shared" si="16"/>
        <v>0</v>
      </c>
      <c r="M103" s="77">
        <f t="shared" si="16"/>
        <v>0</v>
      </c>
      <c r="N103" s="77">
        <f t="shared" si="16"/>
        <v>0</v>
      </c>
      <c r="O103" s="77">
        <f t="shared" si="16"/>
        <v>0</v>
      </c>
      <c r="P103" s="77">
        <f t="shared" si="16"/>
        <v>0</v>
      </c>
      <c r="Q103" s="4"/>
    </row>
    <row r="104" spans="1:17" ht="12.75" customHeight="1" hidden="1">
      <c r="A104" s="22"/>
      <c r="B104" s="22"/>
      <c r="C104" s="22"/>
      <c r="D104" s="78" t="s">
        <v>165</v>
      </c>
      <c r="E104" s="77">
        <f aca="true" t="shared" si="17" ref="E104:P104">(VLOOKUP(E102,$E83:$N92,10,FALSE))+E103</f>
        <v>90</v>
      </c>
      <c r="F104" s="77">
        <f t="shared" si="17"/>
        <v>90</v>
      </c>
      <c r="G104" s="77">
        <f t="shared" si="17"/>
        <v>90</v>
      </c>
      <c r="H104" s="77">
        <f t="shared" si="17"/>
        <v>90</v>
      </c>
      <c r="I104" s="77">
        <f t="shared" si="17"/>
        <v>90</v>
      </c>
      <c r="J104" s="77">
        <f t="shared" si="17"/>
        <v>90</v>
      </c>
      <c r="K104" s="77">
        <f t="shared" si="17"/>
        <v>90</v>
      </c>
      <c r="L104" s="77">
        <f t="shared" si="17"/>
        <v>90</v>
      </c>
      <c r="M104" s="77">
        <f t="shared" si="17"/>
        <v>90</v>
      </c>
      <c r="N104" s="77">
        <f t="shared" si="17"/>
        <v>90</v>
      </c>
      <c r="O104" s="77">
        <f t="shared" si="17"/>
        <v>90</v>
      </c>
      <c r="P104" s="77">
        <f t="shared" si="17"/>
        <v>90</v>
      </c>
      <c r="Q104" s="4"/>
    </row>
    <row r="105" spans="1:17" ht="12.75" customHeight="1" hidden="1">
      <c r="A105" s="22"/>
      <c r="B105" s="22"/>
      <c r="C105" s="22"/>
      <c r="D105" s="78" t="s">
        <v>40</v>
      </c>
      <c r="E105" s="77">
        <f aca="true" t="shared" si="18" ref="E105:P105">VLOOKUP(E102,$E83:$H92,4,FALSE)</f>
        <v>10</v>
      </c>
      <c r="F105" s="77">
        <f t="shared" si="18"/>
        <v>10</v>
      </c>
      <c r="G105" s="77">
        <f t="shared" si="18"/>
        <v>0</v>
      </c>
      <c r="H105" s="77">
        <f t="shared" si="18"/>
        <v>0</v>
      </c>
      <c r="I105" s="77">
        <f t="shared" si="18"/>
        <v>0</v>
      </c>
      <c r="J105" s="77">
        <f t="shared" si="18"/>
        <v>0</v>
      </c>
      <c r="K105" s="77">
        <f t="shared" si="18"/>
        <v>0</v>
      </c>
      <c r="L105" s="77">
        <f t="shared" si="18"/>
        <v>0</v>
      </c>
      <c r="M105" s="77">
        <f t="shared" si="18"/>
        <v>0</v>
      </c>
      <c r="N105" s="77">
        <f t="shared" si="18"/>
        <v>0</v>
      </c>
      <c r="O105" s="77">
        <f t="shared" si="18"/>
        <v>0</v>
      </c>
      <c r="P105" s="77">
        <f t="shared" si="18"/>
        <v>0</v>
      </c>
      <c r="Q105" s="4"/>
    </row>
    <row r="106" spans="1:17" ht="12.75" customHeight="1" hidden="1">
      <c r="A106" s="22"/>
      <c r="B106" s="22"/>
      <c r="C106" s="22"/>
      <c r="D106" s="78" t="s">
        <v>166</v>
      </c>
      <c r="E106" s="79">
        <f aca="true" t="shared" si="19" ref="E106:P106">VLOOKUP(E102,$E83:$G92,3,FALSE)</f>
        <v>10</v>
      </c>
      <c r="F106" s="79">
        <f t="shared" si="19"/>
        <v>10</v>
      </c>
      <c r="G106" s="79">
        <f t="shared" si="19"/>
        <v>0</v>
      </c>
      <c r="H106" s="79">
        <f t="shared" si="19"/>
        <v>0</v>
      </c>
      <c r="I106" s="79">
        <f t="shared" si="19"/>
        <v>0</v>
      </c>
      <c r="J106" s="79">
        <f t="shared" si="19"/>
        <v>0</v>
      </c>
      <c r="K106" s="79">
        <f t="shared" si="19"/>
        <v>0</v>
      </c>
      <c r="L106" s="79">
        <f t="shared" si="19"/>
        <v>0</v>
      </c>
      <c r="M106" s="79">
        <f t="shared" si="19"/>
        <v>0</v>
      </c>
      <c r="N106" s="79">
        <f t="shared" si="19"/>
        <v>0</v>
      </c>
      <c r="O106" s="79">
        <f t="shared" si="19"/>
        <v>0</v>
      </c>
      <c r="P106" s="79">
        <f t="shared" si="19"/>
        <v>0</v>
      </c>
      <c r="Q106" s="4"/>
    </row>
    <row r="107" spans="1:17" ht="12.75" customHeight="1" hidden="1">
      <c r="A107" s="22"/>
      <c r="B107" s="22"/>
      <c r="C107" s="22"/>
      <c r="D107" s="78" t="s">
        <v>16</v>
      </c>
      <c r="E107" s="77">
        <f aca="true" t="shared" si="20" ref="E107:P107">VLOOKUP(E102,$E$83:$M$92,9,FALSE)</f>
        <v>1</v>
      </c>
      <c r="F107" s="77">
        <f t="shared" si="20"/>
        <v>1</v>
      </c>
      <c r="G107" s="77">
        <f t="shared" si="20"/>
        <v>0</v>
      </c>
      <c r="H107" s="77">
        <f t="shared" si="20"/>
        <v>0</v>
      </c>
      <c r="I107" s="77">
        <f t="shared" si="20"/>
        <v>0</v>
      </c>
      <c r="J107" s="77">
        <f t="shared" si="20"/>
        <v>0</v>
      </c>
      <c r="K107" s="77">
        <f t="shared" si="20"/>
        <v>0</v>
      </c>
      <c r="L107" s="77">
        <f t="shared" si="20"/>
        <v>0</v>
      </c>
      <c r="M107" s="77">
        <f t="shared" si="20"/>
        <v>0</v>
      </c>
      <c r="N107" s="77">
        <f t="shared" si="20"/>
        <v>0</v>
      </c>
      <c r="O107" s="77">
        <f t="shared" si="20"/>
        <v>0</v>
      </c>
      <c r="P107" s="77">
        <f t="shared" si="20"/>
        <v>0</v>
      </c>
      <c r="Q107" s="4"/>
    </row>
    <row r="108" spans="1:17" ht="12.75" customHeight="1" hidden="1">
      <c r="A108" s="22"/>
      <c r="B108" s="22"/>
      <c r="C108" s="22"/>
      <c r="D108" s="78" t="s">
        <v>167</v>
      </c>
      <c r="E108" s="79">
        <f>(E104-E101)/E105</f>
        <v>1.4336745142936707</v>
      </c>
      <c r="F108" s="79">
        <f aca="true" t="shared" si="21" ref="F108:P108">(F104-F101)/F105</f>
        <v>6.348743677139282</v>
      </c>
      <c r="G108" s="79" t="e">
        <f t="shared" si="21"/>
        <v>#DIV/0!</v>
      </c>
      <c r="H108" s="79" t="e">
        <f t="shared" si="21"/>
        <v>#DIV/0!</v>
      </c>
      <c r="I108" s="79" t="e">
        <f t="shared" si="21"/>
        <v>#DIV/0!</v>
      </c>
      <c r="J108" s="79" t="e">
        <f t="shared" si="21"/>
        <v>#DIV/0!</v>
      </c>
      <c r="K108" s="79" t="e">
        <f t="shared" si="21"/>
        <v>#DIV/0!</v>
      </c>
      <c r="L108" s="79" t="e">
        <f t="shared" si="21"/>
        <v>#DIV/0!</v>
      </c>
      <c r="M108" s="79" t="e">
        <f t="shared" si="21"/>
        <v>#DIV/0!</v>
      </c>
      <c r="N108" s="79" t="e">
        <f t="shared" si="21"/>
        <v>#DIV/0!</v>
      </c>
      <c r="O108" s="79" t="e">
        <f t="shared" si="21"/>
        <v>#DIV/0!</v>
      </c>
      <c r="P108" s="79" t="e">
        <f t="shared" si="21"/>
        <v>#DIV/0!</v>
      </c>
      <c r="Q108" s="4"/>
    </row>
    <row r="109" spans="1:17" ht="12.75" customHeight="1" hidden="1">
      <c r="A109" s="22"/>
      <c r="B109" s="22"/>
      <c r="C109" s="22"/>
      <c r="D109" s="78" t="s">
        <v>161</v>
      </c>
      <c r="E109" s="79">
        <f aca="true" t="shared" si="22" ref="E109:P109">E106-(E107*(E108))</f>
        <v>8.56632548570633</v>
      </c>
      <c r="F109" s="79">
        <f t="shared" si="22"/>
        <v>3.6512563228607178</v>
      </c>
      <c r="G109" s="79" t="e">
        <f t="shared" si="22"/>
        <v>#DIV/0!</v>
      </c>
      <c r="H109" s="79" t="e">
        <f t="shared" si="22"/>
        <v>#DIV/0!</v>
      </c>
      <c r="I109" s="79" t="e">
        <f t="shared" si="22"/>
        <v>#DIV/0!</v>
      </c>
      <c r="J109" s="79" t="e">
        <f t="shared" si="22"/>
        <v>#DIV/0!</v>
      </c>
      <c r="K109" s="79" t="e">
        <f t="shared" si="22"/>
        <v>#DIV/0!</v>
      </c>
      <c r="L109" s="79" t="e">
        <f t="shared" si="22"/>
        <v>#DIV/0!</v>
      </c>
      <c r="M109" s="79" t="e">
        <f t="shared" si="22"/>
        <v>#DIV/0!</v>
      </c>
      <c r="N109" s="79" t="e">
        <f t="shared" si="22"/>
        <v>#DIV/0!</v>
      </c>
      <c r="O109" s="79" t="e">
        <f t="shared" si="22"/>
        <v>#DIV/0!</v>
      </c>
      <c r="P109" s="79" t="e">
        <f t="shared" si="22"/>
        <v>#DIV/0!</v>
      </c>
      <c r="Q109" s="4"/>
    </row>
    <row r="110" spans="1:17" ht="12.75" customHeight="1" hidden="1">
      <c r="A110" s="22"/>
      <c r="B110" s="22"/>
      <c r="C110" s="22"/>
      <c r="D110" s="78" t="s">
        <v>15</v>
      </c>
      <c r="E110" s="23" t="str">
        <f>VLOOKUP(E102,$O83:$P92,2)</f>
        <v>,  Lift, </v>
      </c>
      <c r="F110" s="23" t="str">
        <f aca="true" t="shared" si="23" ref="F110:P110">VLOOKUP(F102,$O83:$P92,2)</f>
        <v>,  Lift, </v>
      </c>
      <c r="G110" s="23" t="str">
        <f t="shared" si="23"/>
        <v>,  Lift, </v>
      </c>
      <c r="H110" s="23" t="str">
        <f t="shared" si="23"/>
        <v>,  Lift, </v>
      </c>
      <c r="I110" s="23" t="str">
        <f t="shared" si="23"/>
        <v>,  Lift, </v>
      </c>
      <c r="J110" s="23" t="str">
        <f t="shared" si="23"/>
        <v>,  Lift, </v>
      </c>
      <c r="K110" s="23" t="str">
        <f t="shared" si="23"/>
        <v>,  Lift, </v>
      </c>
      <c r="L110" s="23" t="str">
        <f t="shared" si="23"/>
        <v>,  Lift, </v>
      </c>
      <c r="M110" s="23" t="str">
        <f t="shared" si="23"/>
        <v>,  Lift, </v>
      </c>
      <c r="N110" s="23" t="str">
        <f t="shared" si="23"/>
        <v>,  Lift, </v>
      </c>
      <c r="O110" s="23" t="str">
        <f t="shared" si="23"/>
        <v>,  Lift, </v>
      </c>
      <c r="P110" s="23" t="str">
        <f t="shared" si="23"/>
        <v>,  Lift, </v>
      </c>
      <c r="Q110" s="4"/>
    </row>
    <row r="111" spans="1:17" ht="12.75" customHeight="1" hidden="1">
      <c r="A111" s="22"/>
      <c r="B111" s="22"/>
      <c r="C111" s="23"/>
      <c r="D111" s="23"/>
      <c r="E111" s="23"/>
      <c r="F111" s="23"/>
      <c r="G111" s="23"/>
      <c r="H111" s="34"/>
      <c r="I111" s="23"/>
      <c r="J111" s="23"/>
      <c r="K111" s="23"/>
      <c r="L111" s="36"/>
      <c r="M111" s="42"/>
      <c r="N111" s="23"/>
      <c r="O111" s="23"/>
      <c r="P111" s="23"/>
      <c r="Q111" s="4"/>
    </row>
    <row r="112" spans="1:17" ht="12.75" customHeight="1" hidden="1">
      <c r="A112" s="22"/>
      <c r="B112" s="22"/>
      <c r="C112" s="23"/>
      <c r="D112" s="23"/>
      <c r="E112" s="23"/>
      <c r="F112" s="23"/>
      <c r="G112" s="23"/>
      <c r="H112" s="34"/>
      <c r="I112" s="23"/>
      <c r="J112" s="23"/>
      <c r="K112" s="23"/>
      <c r="L112" s="36"/>
      <c r="M112" s="42"/>
      <c r="N112" s="23"/>
      <c r="O112" s="23"/>
      <c r="P112" s="23"/>
      <c r="Q112" s="4"/>
    </row>
    <row r="113" spans="1:17" ht="12.75" customHeight="1" hidden="1">
      <c r="A113" s="22"/>
      <c r="B113" s="22"/>
      <c r="C113" s="23"/>
      <c r="D113" s="23"/>
      <c r="E113" s="23"/>
      <c r="F113" s="23"/>
      <c r="G113" s="23"/>
      <c r="H113" s="34"/>
      <c r="I113" s="23"/>
      <c r="J113" s="23"/>
      <c r="K113" s="23"/>
      <c r="L113" s="36"/>
      <c r="M113" s="42"/>
      <c r="N113" s="23"/>
      <c r="O113" s="23"/>
      <c r="P113" s="23"/>
      <c r="Q113" s="4"/>
    </row>
    <row r="114" spans="1:17" ht="12.75" customHeight="1" hidden="1">
      <c r="A114" s="22"/>
      <c r="B114" s="22"/>
      <c r="C114" s="23"/>
      <c r="D114" s="23"/>
      <c r="E114" s="23"/>
      <c r="F114" s="23"/>
      <c r="G114" s="23"/>
      <c r="H114" s="34"/>
      <c r="I114" s="23"/>
      <c r="J114" s="23"/>
      <c r="K114" s="23"/>
      <c r="L114" s="36"/>
      <c r="M114" s="42"/>
      <c r="N114" s="23"/>
      <c r="O114" s="23"/>
      <c r="P114" s="23"/>
      <c r="Q114" s="4"/>
    </row>
    <row r="115" spans="1:17" ht="12.75" customHeight="1" hidden="1">
      <c r="A115" s="22"/>
      <c r="B115" s="22"/>
      <c r="C115" s="23"/>
      <c r="D115" s="23"/>
      <c r="E115" s="23"/>
      <c r="F115" s="23"/>
      <c r="G115" s="23"/>
      <c r="H115" s="34"/>
      <c r="I115" s="23"/>
      <c r="J115" s="23"/>
      <c r="K115" s="23"/>
      <c r="L115" s="36"/>
      <c r="M115" s="42"/>
      <c r="N115" s="23"/>
      <c r="O115" s="23"/>
      <c r="P115" s="23"/>
      <c r="Q115" s="4"/>
    </row>
    <row r="116" spans="1:17" ht="12.75" customHeight="1" hidden="1">
      <c r="A116" s="22"/>
      <c r="B116" s="22"/>
      <c r="C116" s="22"/>
      <c r="D116" s="23"/>
      <c r="E116" s="23"/>
      <c r="F116" s="23"/>
      <c r="G116" s="23"/>
      <c r="H116" s="34"/>
      <c r="I116" s="23"/>
      <c r="J116" s="23"/>
      <c r="K116" s="23"/>
      <c r="L116" s="36"/>
      <c r="M116" s="42"/>
      <c r="N116" s="23"/>
      <c r="O116" s="23"/>
      <c r="P116" s="23"/>
      <c r="Q116" s="4"/>
    </row>
    <row r="117" spans="1:17" ht="12.75" customHeight="1" hidden="1" thickBot="1">
      <c r="A117" s="22"/>
      <c r="B117" s="22"/>
      <c r="C117" s="47" t="s">
        <v>211</v>
      </c>
      <c r="D117" s="68"/>
      <c r="E117" s="68"/>
      <c r="F117" s="23"/>
      <c r="G117" s="23"/>
      <c r="H117" s="34"/>
      <c r="I117" s="23"/>
      <c r="J117" s="23"/>
      <c r="K117" s="23"/>
      <c r="L117" s="36"/>
      <c r="M117" s="42"/>
      <c r="N117" s="23"/>
      <c r="O117" s="23"/>
      <c r="P117" s="23"/>
      <c r="Q117" s="4"/>
    </row>
    <row r="118" spans="1:17" ht="12.75" customHeight="1" hidden="1">
      <c r="A118" s="22"/>
      <c r="B118" s="22"/>
      <c r="C118" s="48"/>
      <c r="D118" s="49"/>
      <c r="E118" s="49"/>
      <c r="F118" s="52"/>
      <c r="G118" s="23"/>
      <c r="H118" s="34"/>
      <c r="I118" s="23"/>
      <c r="J118" s="23"/>
      <c r="K118" s="23"/>
      <c r="L118" s="36"/>
      <c r="M118" s="42"/>
      <c r="N118" s="23"/>
      <c r="O118" s="23"/>
      <c r="P118" s="23"/>
      <c r="Q118" s="4"/>
    </row>
    <row r="119" spans="1:17" ht="12.75" customHeight="1" hidden="1">
      <c r="A119" s="22"/>
      <c r="B119" s="22"/>
      <c r="C119" s="77"/>
      <c r="D119" s="28"/>
      <c r="E119" s="28" t="s">
        <v>169</v>
      </c>
      <c r="F119" s="80" t="s">
        <v>170</v>
      </c>
      <c r="G119" s="23"/>
      <c r="H119" s="81"/>
      <c r="I119" s="81"/>
      <c r="J119" s="34"/>
      <c r="K119" s="23"/>
      <c r="L119" s="36"/>
      <c r="M119" s="42"/>
      <c r="N119" s="23"/>
      <c r="O119" s="23"/>
      <c r="P119" s="23"/>
      <c r="Q119" s="4"/>
    </row>
    <row r="120" spans="1:17" ht="12.75" customHeight="1" hidden="1">
      <c r="A120" s="22"/>
      <c r="B120" s="22"/>
      <c r="C120" s="77"/>
      <c r="D120" s="28" t="str">
        <f aca="true" t="shared" si="24" ref="D120:D134">C23</f>
        <v>Mat</v>
      </c>
      <c r="E120" s="28" t="s">
        <v>41</v>
      </c>
      <c r="F120" s="80" t="s">
        <v>171</v>
      </c>
      <c r="G120" s="23"/>
      <c r="H120" s="81"/>
      <c r="I120" s="81"/>
      <c r="J120" s="34"/>
      <c r="K120" s="23"/>
      <c r="L120" s="36"/>
      <c r="M120" s="42"/>
      <c r="N120" s="23"/>
      <c r="O120" s="23"/>
      <c r="P120" s="23"/>
      <c r="Q120" s="4"/>
    </row>
    <row r="121" spans="1:17" ht="12.75" customHeight="1" hidden="1">
      <c r="A121" s="22"/>
      <c r="B121" s="22"/>
      <c r="C121" s="77"/>
      <c r="D121" s="28" t="str">
        <f t="shared" si="24"/>
        <v>Core</v>
      </c>
      <c r="E121" s="28" t="s">
        <v>39</v>
      </c>
      <c r="F121" s="80" t="s">
        <v>169</v>
      </c>
      <c r="G121" s="23"/>
      <c r="H121" s="81"/>
      <c r="I121" s="81"/>
      <c r="J121" s="34"/>
      <c r="K121" s="23"/>
      <c r="L121" s="36"/>
      <c r="M121" s="42"/>
      <c r="N121" s="23"/>
      <c r="O121" s="23"/>
      <c r="P121" s="23"/>
      <c r="Q121" s="4"/>
    </row>
    <row r="122" spans="1:17" ht="12.75" customHeight="1" hidden="1">
      <c r="A122" s="22"/>
      <c r="B122" s="22"/>
      <c r="C122" s="77" t="str">
        <f>B25</f>
        <v>Lot</v>
      </c>
      <c r="D122" s="28" t="str">
        <f t="shared" si="24"/>
        <v>ID</v>
      </c>
      <c r="E122" s="28"/>
      <c r="F122" s="80"/>
      <c r="G122" s="23"/>
      <c r="H122" s="23"/>
      <c r="I122" s="23"/>
      <c r="J122" s="23"/>
      <c r="K122" s="23"/>
      <c r="L122" s="36"/>
      <c r="M122" s="42"/>
      <c r="N122" s="23"/>
      <c r="O122" s="23"/>
      <c r="P122" s="23"/>
      <c r="Q122" s="4"/>
    </row>
    <row r="123" spans="1:17" ht="12.75" customHeight="1" hidden="1">
      <c r="A123" s="22"/>
      <c r="B123" s="22"/>
      <c r="C123" s="77">
        <f>B26</f>
        <v>1</v>
      </c>
      <c r="D123" s="28">
        <f t="shared" si="24"/>
        <v>1.1</v>
      </c>
      <c r="E123" s="28">
        <f>'random numbers'!$B$150</f>
        <v>0.7112022638320923</v>
      </c>
      <c r="F123" s="82" t="str">
        <f>IF(E123&lt;0.5,"Y","N")</f>
        <v>N</v>
      </c>
      <c r="G123" s="23"/>
      <c r="H123" s="83"/>
      <c r="I123" s="84"/>
      <c r="J123" s="85"/>
      <c r="K123" s="23"/>
      <c r="L123" s="36"/>
      <c r="M123" s="42"/>
      <c r="N123" s="23"/>
      <c r="O123" s="23"/>
      <c r="P123" s="23"/>
      <c r="Q123" s="4"/>
    </row>
    <row r="124" spans="1:17" ht="12.75" customHeight="1" hidden="1">
      <c r="A124" s="22"/>
      <c r="B124" s="22"/>
      <c r="C124" s="77"/>
      <c r="D124" s="28">
        <f t="shared" si="24"/>
        <v>1.2</v>
      </c>
      <c r="E124" s="28"/>
      <c r="F124" s="82" t="str">
        <f>IF(E123&gt;0.5,"Y","N")</f>
        <v>Y</v>
      </c>
      <c r="G124" s="23"/>
      <c r="H124" s="83"/>
      <c r="I124" s="84"/>
      <c r="J124" s="85"/>
      <c r="K124" s="23"/>
      <c r="L124" s="36"/>
      <c r="M124" s="42"/>
      <c r="N124" s="23"/>
      <c r="O124" s="23"/>
      <c r="P124" s="23"/>
      <c r="Q124" s="4"/>
    </row>
    <row r="125" spans="1:17" ht="12.75" customHeight="1" hidden="1">
      <c r="A125" s="22"/>
      <c r="B125" s="22"/>
      <c r="C125" s="77">
        <f>B28</f>
      </c>
      <c r="D125" s="28">
        <f t="shared" si="24"/>
      </c>
      <c r="E125" s="28">
        <f>'random numbers'!$B$151</f>
        <v>0.18485575914382935</v>
      </c>
      <c r="F125" s="82" t="str">
        <f>IF(E125&lt;0.5,"Y","N")</f>
        <v>Y</v>
      </c>
      <c r="G125" s="23"/>
      <c r="H125" s="34"/>
      <c r="I125" s="23"/>
      <c r="J125" s="23"/>
      <c r="K125" s="23"/>
      <c r="L125" s="36"/>
      <c r="M125" s="42"/>
      <c r="N125" s="23"/>
      <c r="O125" s="23"/>
      <c r="P125" s="23"/>
      <c r="Q125" s="4"/>
    </row>
    <row r="126" spans="1:17" ht="12.75" customHeight="1" hidden="1">
      <c r="A126" s="22"/>
      <c r="B126" s="22"/>
      <c r="C126" s="77"/>
      <c r="D126" s="28">
        <f t="shared" si="24"/>
      </c>
      <c r="E126" s="28"/>
      <c r="F126" s="82" t="str">
        <f>IF(E125&gt;0.5,"Y","N")</f>
        <v>N</v>
      </c>
      <c r="G126" s="23"/>
      <c r="H126" s="34"/>
      <c r="I126" s="23"/>
      <c r="J126" s="23"/>
      <c r="K126" s="23"/>
      <c r="L126" s="36"/>
      <c r="M126" s="42"/>
      <c r="N126" s="23"/>
      <c r="O126" s="23"/>
      <c r="P126" s="23"/>
      <c r="Q126" s="4"/>
    </row>
    <row r="127" spans="1:17" ht="12.75" customHeight="1" hidden="1">
      <c r="A127" s="22"/>
      <c r="B127" s="22"/>
      <c r="C127" s="77">
        <f>B30</f>
      </c>
      <c r="D127" s="28">
        <f t="shared" si="24"/>
      </c>
      <c r="E127" s="28">
        <f>'random numbers'!$B$152</f>
        <v>0.057535409927368164</v>
      </c>
      <c r="F127" s="82" t="str">
        <f>IF(E127&lt;0.5,"Y","N")</f>
        <v>Y</v>
      </c>
      <c r="G127" s="23"/>
      <c r="H127" s="34"/>
      <c r="I127" s="23"/>
      <c r="J127" s="23"/>
      <c r="K127" s="23"/>
      <c r="L127" s="36"/>
      <c r="M127" s="42"/>
      <c r="N127" s="23"/>
      <c r="O127" s="23"/>
      <c r="P127" s="23"/>
      <c r="Q127" s="4"/>
    </row>
    <row r="128" spans="1:17" ht="12.75" customHeight="1" hidden="1">
      <c r="A128" s="22"/>
      <c r="B128" s="22"/>
      <c r="C128" s="77"/>
      <c r="D128" s="28">
        <f t="shared" si="24"/>
      </c>
      <c r="E128" s="28"/>
      <c r="F128" s="82" t="str">
        <f>IF(E127&gt;0.5,"Y","N")</f>
        <v>N</v>
      </c>
      <c r="G128" s="23"/>
      <c r="H128" s="34"/>
      <c r="I128" s="23"/>
      <c r="J128" s="23"/>
      <c r="K128" s="23"/>
      <c r="L128" s="36"/>
      <c r="M128" s="42"/>
      <c r="N128" s="23"/>
      <c r="O128" s="23"/>
      <c r="P128" s="23"/>
      <c r="Q128" s="4"/>
    </row>
    <row r="129" spans="1:17" ht="12.75" customHeight="1" hidden="1">
      <c r="A129" s="22"/>
      <c r="B129" s="22"/>
      <c r="C129" s="77">
        <f>B32</f>
      </c>
      <c r="D129" s="28">
        <f t="shared" si="24"/>
      </c>
      <c r="E129" s="28">
        <f>'random numbers'!$B$153</f>
        <v>0.2460760474205017</v>
      </c>
      <c r="F129" s="82" t="str">
        <f>IF(E129&lt;0.5,"Y","N")</f>
        <v>Y</v>
      </c>
      <c r="G129" s="23"/>
      <c r="H129" s="34"/>
      <c r="I129" s="23"/>
      <c r="J129" s="23"/>
      <c r="K129" s="23"/>
      <c r="L129" s="36"/>
      <c r="M129" s="42"/>
      <c r="N129" s="23"/>
      <c r="O129" s="23"/>
      <c r="P129" s="23"/>
      <c r="Q129" s="4"/>
    </row>
    <row r="130" spans="1:17" ht="12.75" customHeight="1" hidden="1">
      <c r="A130" s="22"/>
      <c r="B130" s="22"/>
      <c r="C130" s="77"/>
      <c r="D130" s="28">
        <f t="shared" si="24"/>
      </c>
      <c r="E130" s="28"/>
      <c r="F130" s="82" t="str">
        <f>IF(E129&gt;0.5,"Y","N")</f>
        <v>N</v>
      </c>
      <c r="G130" s="23"/>
      <c r="H130" s="34"/>
      <c r="I130" s="23"/>
      <c r="J130" s="23"/>
      <c r="K130" s="23"/>
      <c r="L130" s="36"/>
      <c r="M130" s="42"/>
      <c r="N130" s="23"/>
      <c r="O130" s="23"/>
      <c r="P130" s="23"/>
      <c r="Q130" s="4"/>
    </row>
    <row r="131" spans="1:17" ht="12.75" customHeight="1" hidden="1">
      <c r="A131" s="22"/>
      <c r="B131" s="22"/>
      <c r="C131" s="77">
        <f>B34</f>
      </c>
      <c r="D131" s="28">
        <f t="shared" si="24"/>
      </c>
      <c r="E131" s="28">
        <f>'random numbers'!$B$154</f>
        <v>0.19821536540985107</v>
      </c>
      <c r="F131" s="82" t="str">
        <f>IF(E131&lt;0.5,"Y","N")</f>
        <v>Y</v>
      </c>
      <c r="G131" s="23"/>
      <c r="H131" s="34"/>
      <c r="I131" s="23"/>
      <c r="J131" s="23"/>
      <c r="K131" s="23"/>
      <c r="L131" s="36"/>
      <c r="M131" s="42"/>
      <c r="N131" s="23"/>
      <c r="O131" s="23"/>
      <c r="P131" s="23"/>
      <c r="Q131" s="4"/>
    </row>
    <row r="132" spans="1:22" ht="12.75" customHeight="1" hidden="1">
      <c r="A132" s="22"/>
      <c r="B132" s="22"/>
      <c r="C132" s="77"/>
      <c r="D132" s="28">
        <f t="shared" si="24"/>
      </c>
      <c r="E132" s="28"/>
      <c r="F132" s="82" t="str">
        <f>IF(E131&gt;0.5,"Y","N")</f>
        <v>N</v>
      </c>
      <c r="G132" s="23"/>
      <c r="H132" s="34"/>
      <c r="I132" s="23"/>
      <c r="J132" s="23"/>
      <c r="K132" s="23"/>
      <c r="L132" s="36"/>
      <c r="M132" s="42"/>
      <c r="N132" s="23"/>
      <c r="O132" s="23"/>
      <c r="P132" s="23"/>
      <c r="Q132" s="4"/>
      <c r="V132" s="3"/>
    </row>
    <row r="133" spans="1:22" ht="12.75" customHeight="1" hidden="1">
      <c r="A133" s="22"/>
      <c r="B133" s="22"/>
      <c r="C133" s="77">
        <f>B36</f>
      </c>
      <c r="D133" s="28">
        <f t="shared" si="24"/>
      </c>
      <c r="E133" s="28">
        <f>'random numbers'!$B$155</f>
        <v>0.976013720035553</v>
      </c>
      <c r="F133" s="82" t="str">
        <f>IF(E133&lt;0.5,"Y","N")</f>
        <v>N</v>
      </c>
      <c r="G133" s="23"/>
      <c r="H133" s="23"/>
      <c r="I133" s="23"/>
      <c r="J133" s="23"/>
      <c r="K133" s="23"/>
      <c r="L133" s="36"/>
      <c r="M133" s="42"/>
      <c r="N133" s="23"/>
      <c r="O133" s="23"/>
      <c r="P133" s="23"/>
      <c r="T133" s="4"/>
      <c r="V133" s="3"/>
    </row>
    <row r="134" spans="1:22" ht="12.75" customHeight="1" hidden="1">
      <c r="A134" s="22"/>
      <c r="B134" s="22"/>
      <c r="C134" s="77"/>
      <c r="D134" s="28">
        <f t="shared" si="24"/>
      </c>
      <c r="E134" s="28"/>
      <c r="F134" s="82" t="str">
        <f>IF(E133&gt;0.5,"Y","N")</f>
        <v>Y</v>
      </c>
      <c r="G134" s="23"/>
      <c r="H134" s="23"/>
      <c r="I134" s="23"/>
      <c r="J134" s="23"/>
      <c r="K134" s="23"/>
      <c r="L134" s="36"/>
      <c r="M134" s="42"/>
      <c r="N134" s="23"/>
      <c r="O134" s="23"/>
      <c r="P134" s="23"/>
      <c r="S134" s="3"/>
      <c r="T134" s="4"/>
      <c r="V134" s="3"/>
    </row>
    <row r="135" spans="1:22" ht="12.75" customHeight="1" hidden="1" thickBot="1">
      <c r="A135" s="22"/>
      <c r="B135" s="22"/>
      <c r="C135" s="86"/>
      <c r="D135" s="64"/>
      <c r="E135" s="64"/>
      <c r="F135" s="87"/>
      <c r="G135" s="23"/>
      <c r="H135" s="23"/>
      <c r="I135" s="23"/>
      <c r="J135" s="23"/>
      <c r="K135" s="23"/>
      <c r="L135" s="36"/>
      <c r="M135" s="42"/>
      <c r="N135" s="23"/>
      <c r="O135" s="23"/>
      <c r="P135" s="23"/>
      <c r="S135" s="3"/>
      <c r="T135" s="4"/>
      <c r="V135" s="3"/>
    </row>
    <row r="136" spans="1:22" ht="12.75" customHeight="1" hidden="1">
      <c r="A136" s="22"/>
      <c r="B136" s="22"/>
      <c r="C136" s="28"/>
      <c r="D136" s="28"/>
      <c r="E136" s="28"/>
      <c r="F136" s="34"/>
      <c r="G136" s="23"/>
      <c r="H136" s="23"/>
      <c r="I136" s="23"/>
      <c r="J136" s="23"/>
      <c r="K136" s="23"/>
      <c r="L136" s="36"/>
      <c r="M136" s="42"/>
      <c r="N136" s="23"/>
      <c r="O136" s="23"/>
      <c r="P136" s="23"/>
      <c r="S136" s="3"/>
      <c r="T136" s="4"/>
      <c r="V136" s="3"/>
    </row>
    <row r="137" spans="1:22" ht="12.75" customHeight="1" hidden="1" thickBot="1">
      <c r="A137" s="22"/>
      <c r="B137" s="22"/>
      <c r="C137" s="88" t="s">
        <v>210</v>
      </c>
      <c r="D137" s="89"/>
      <c r="E137" s="28"/>
      <c r="F137" s="34"/>
      <c r="G137" s="23"/>
      <c r="H137" s="23"/>
      <c r="I137" s="23"/>
      <c r="J137" s="23"/>
      <c r="K137" s="23"/>
      <c r="L137" s="36"/>
      <c r="M137" s="90" t="s">
        <v>213</v>
      </c>
      <c r="N137" s="68"/>
      <c r="O137" s="23"/>
      <c r="P137" s="23"/>
      <c r="S137" s="3"/>
      <c r="T137" s="4"/>
      <c r="V137" s="3"/>
    </row>
    <row r="138" spans="1:19" ht="12.75" customHeight="1" hidden="1">
      <c r="A138" s="22"/>
      <c r="B138" s="22"/>
      <c r="C138" s="48" t="s">
        <v>212</v>
      </c>
      <c r="D138" s="49"/>
      <c r="E138" s="49"/>
      <c r="F138" s="49"/>
      <c r="G138" s="49"/>
      <c r="H138" s="49"/>
      <c r="I138" s="49"/>
      <c r="J138" s="49"/>
      <c r="K138" s="52"/>
      <c r="L138" s="23"/>
      <c r="M138" s="48"/>
      <c r="N138" s="49"/>
      <c r="O138" s="49"/>
      <c r="P138" s="49"/>
      <c r="Q138" s="14"/>
      <c r="R138" s="14"/>
      <c r="S138" s="15"/>
    </row>
    <row r="139" spans="1:19" ht="12.75" customHeight="1" hidden="1">
      <c r="A139" s="23"/>
      <c r="B139" s="23"/>
      <c r="C139" s="53"/>
      <c r="D139" s="28" t="s">
        <v>182</v>
      </c>
      <c r="E139" s="36" t="s">
        <v>182</v>
      </c>
      <c r="F139" s="91"/>
      <c r="G139" s="22"/>
      <c r="H139" s="22"/>
      <c r="I139" s="22"/>
      <c r="J139" s="22"/>
      <c r="K139" s="54"/>
      <c r="L139" s="34"/>
      <c r="M139" s="77" t="s">
        <v>185</v>
      </c>
      <c r="N139" s="36" t="s">
        <v>185</v>
      </c>
      <c r="O139" s="28" t="s">
        <v>186</v>
      </c>
      <c r="P139" s="92"/>
      <c r="Q139" s="4"/>
      <c r="R139" s="4"/>
      <c r="S139" s="16"/>
    </row>
    <row r="140" spans="1:19" ht="12.75" customHeight="1" hidden="1">
      <c r="A140" s="23"/>
      <c r="B140" s="23"/>
      <c r="C140" s="53"/>
      <c r="D140" s="28" t="s">
        <v>175</v>
      </c>
      <c r="E140" s="36" t="s">
        <v>175</v>
      </c>
      <c r="F140" s="91" t="s">
        <v>176</v>
      </c>
      <c r="G140" s="28" t="s">
        <v>179</v>
      </c>
      <c r="H140" s="28" t="s">
        <v>191</v>
      </c>
      <c r="I140" s="28" t="s">
        <v>193</v>
      </c>
      <c r="J140" s="22"/>
      <c r="K140" s="80" t="s">
        <v>183</v>
      </c>
      <c r="L140" s="34"/>
      <c r="M140" s="77" t="s">
        <v>175</v>
      </c>
      <c r="N140" s="36" t="s">
        <v>175</v>
      </c>
      <c r="O140" s="28" t="s">
        <v>187</v>
      </c>
      <c r="P140" s="28" t="s">
        <v>191</v>
      </c>
      <c r="Q140" s="6" t="s">
        <v>193</v>
      </c>
      <c r="R140" s="4"/>
      <c r="S140" s="17" t="s">
        <v>183</v>
      </c>
    </row>
    <row r="141" spans="1:19" ht="12.75" customHeight="1" hidden="1">
      <c r="A141" s="23"/>
      <c r="B141" s="23"/>
      <c r="C141" s="77" t="s">
        <v>174</v>
      </c>
      <c r="D141" s="28" t="s">
        <v>7</v>
      </c>
      <c r="E141" s="36" t="s">
        <v>170</v>
      </c>
      <c r="F141" s="91" t="s">
        <v>8</v>
      </c>
      <c r="G141" s="28" t="s">
        <v>180</v>
      </c>
      <c r="H141" s="28" t="s">
        <v>8</v>
      </c>
      <c r="I141" s="28" t="s">
        <v>194</v>
      </c>
      <c r="J141" s="28" t="str">
        <f>C165</f>
        <v>Mat</v>
      </c>
      <c r="K141" s="80" t="s">
        <v>151</v>
      </c>
      <c r="L141" s="34"/>
      <c r="M141" s="77" t="s">
        <v>7</v>
      </c>
      <c r="N141" s="36" t="s">
        <v>170</v>
      </c>
      <c r="O141" s="28" t="s">
        <v>188</v>
      </c>
      <c r="P141" s="28" t="s">
        <v>8</v>
      </c>
      <c r="Q141" s="6" t="s">
        <v>194</v>
      </c>
      <c r="R141" s="6" t="str">
        <f aca="true" t="shared" si="25" ref="R141:R156">J141</f>
        <v>Mat</v>
      </c>
      <c r="S141" s="17" t="s">
        <v>151</v>
      </c>
    </row>
    <row r="142" spans="1:19" ht="12.75" customHeight="1" hidden="1">
      <c r="A142" s="23"/>
      <c r="B142" s="23"/>
      <c r="C142" s="77" t="s">
        <v>175</v>
      </c>
      <c r="D142" s="28" t="s">
        <v>21</v>
      </c>
      <c r="E142" s="36" t="s">
        <v>8</v>
      </c>
      <c r="F142" s="91" t="s">
        <v>177</v>
      </c>
      <c r="G142" s="28" t="s">
        <v>8</v>
      </c>
      <c r="H142" s="28" t="s">
        <v>21</v>
      </c>
      <c r="I142" s="28" t="s">
        <v>195</v>
      </c>
      <c r="J142" s="28" t="str">
        <f>C166</f>
        <v>Core</v>
      </c>
      <c r="K142" s="80" t="s">
        <v>184</v>
      </c>
      <c r="L142" s="34"/>
      <c r="M142" s="77" t="s">
        <v>21</v>
      </c>
      <c r="N142" s="36" t="s">
        <v>8</v>
      </c>
      <c r="O142" s="28" t="s">
        <v>189</v>
      </c>
      <c r="P142" s="28" t="s">
        <v>21</v>
      </c>
      <c r="Q142" s="6" t="s">
        <v>195</v>
      </c>
      <c r="R142" s="6" t="str">
        <f t="shared" si="25"/>
        <v>Core</v>
      </c>
      <c r="S142" s="17" t="s">
        <v>184</v>
      </c>
    </row>
    <row r="143" spans="1:19" ht="12.75" customHeight="1" hidden="1">
      <c r="A143" s="23"/>
      <c r="B143" s="23"/>
      <c r="C143" s="77" t="s">
        <v>3</v>
      </c>
      <c r="D143" s="28" t="s">
        <v>172</v>
      </c>
      <c r="E143" s="36" t="s">
        <v>181</v>
      </c>
      <c r="F143" s="91" t="s">
        <v>178</v>
      </c>
      <c r="G143" s="28" t="s">
        <v>22</v>
      </c>
      <c r="H143" s="93" t="s">
        <v>192</v>
      </c>
      <c r="I143" s="28" t="s">
        <v>196</v>
      </c>
      <c r="J143" s="28" t="str">
        <f>C167</f>
        <v>ID</v>
      </c>
      <c r="K143" s="80" t="s">
        <v>38</v>
      </c>
      <c r="L143" s="34"/>
      <c r="M143" s="77" t="s">
        <v>172</v>
      </c>
      <c r="N143" s="36" t="s">
        <v>181</v>
      </c>
      <c r="O143" s="28" t="s">
        <v>190</v>
      </c>
      <c r="P143" s="93" t="s">
        <v>192</v>
      </c>
      <c r="Q143" s="6" t="s">
        <v>196</v>
      </c>
      <c r="R143" s="6" t="str">
        <f t="shared" si="25"/>
        <v>ID</v>
      </c>
      <c r="S143" s="17" t="s">
        <v>38</v>
      </c>
    </row>
    <row r="144" spans="1:19" ht="12.75" customHeight="1" hidden="1">
      <c r="A144" s="23"/>
      <c r="B144" s="23"/>
      <c r="C144" s="77"/>
      <c r="D144" s="22"/>
      <c r="E144" s="36"/>
      <c r="F144" s="91"/>
      <c r="G144" s="28"/>
      <c r="H144" s="22"/>
      <c r="I144" s="28" t="s">
        <v>197</v>
      </c>
      <c r="J144" s="22"/>
      <c r="K144" s="54"/>
      <c r="L144" s="34"/>
      <c r="M144" s="77"/>
      <c r="N144" s="22"/>
      <c r="O144" s="28"/>
      <c r="P144" s="22"/>
      <c r="Q144" s="6" t="s">
        <v>197</v>
      </c>
      <c r="R144" s="4"/>
      <c r="S144" s="16"/>
    </row>
    <row r="145" spans="1:19" ht="12.75" customHeight="1" hidden="1">
      <c r="A145" s="23"/>
      <c r="B145" s="23"/>
      <c r="C145" s="77">
        <f>IF($K$14&lt;=5,1,2)</f>
        <v>1</v>
      </c>
      <c r="D145" s="22">
        <f>'random numbers'!$B$90</f>
        <v>0.30355823040008545</v>
      </c>
      <c r="E145" s="36">
        <f>ROUND((($K$13)*D145),0)</f>
        <v>0</v>
      </c>
      <c r="F145" s="91" t="str">
        <f aca="true" ca="1" t="shared" si="26" ref="F145:F156">CELL("type",C168)</f>
        <v>v</v>
      </c>
      <c r="G145" s="28">
        <f>IF(F145="v",1,"")</f>
        <v>1</v>
      </c>
      <c r="H145" s="22">
        <f>'random numbers'!$B$160</f>
        <v>0.2564074993133545</v>
      </c>
      <c r="I145" s="28">
        <f>IF(AND(($E$150=$G145),(H145&lt;0.5)),1,2)</f>
        <v>1</v>
      </c>
      <c r="J145" s="28">
        <f aca="true" t="shared" si="27" ref="J145:J156">C168</f>
        <v>1.1</v>
      </c>
      <c r="K145" s="82">
        <f>VLOOKUP(1,I145:J156,2,FALSE)</f>
        <v>1.1</v>
      </c>
      <c r="L145" s="34"/>
      <c r="M145" s="77">
        <f>'random numbers'!$B$115</f>
        <v>0.4927979111671448</v>
      </c>
      <c r="N145" s="36">
        <f>IF($C$145&gt;1,ROUND((($K$13)*M145),0),"")</f>
      </c>
      <c r="O145" s="28">
        <f>IF(N145="","",IF(N155&lt;&gt;$E$150,N155,IF(N156&lt;&gt;$E$150,N156,N157)))</f>
      </c>
      <c r="P145" s="22">
        <f>'random numbers'!$B$166</f>
        <v>0.12012350559234619</v>
      </c>
      <c r="Q145" s="6">
        <f>IF(AND(($O$145=$G145),(P145&lt;0.5)),1,2)</f>
        <v>2</v>
      </c>
      <c r="R145" s="6">
        <f t="shared" si="25"/>
        <v>1.1</v>
      </c>
      <c r="S145" s="21">
        <f>VLOOKUP(1,Q145:R156,2,FALSE)</f>
      </c>
    </row>
    <row r="146" spans="1:19" ht="12.75" customHeight="1" hidden="1">
      <c r="A146" s="23"/>
      <c r="B146" s="23"/>
      <c r="C146" s="53"/>
      <c r="D146" s="22">
        <f>'random numbers'!$B$91</f>
        <v>0.21857887506484985</v>
      </c>
      <c r="E146" s="36">
        <f>ROUND((($K$13)*D146),0)</f>
        <v>0</v>
      </c>
      <c r="F146" s="91" t="str">
        <f ca="1" t="shared" si="26"/>
        <v>v</v>
      </c>
      <c r="G146" s="28"/>
      <c r="H146" s="22"/>
      <c r="I146" s="28">
        <f>IF(AND(($E$150=$G$145),($H145&gt;=0.5)),1,2)</f>
        <v>2</v>
      </c>
      <c r="J146" s="28">
        <f t="shared" si="27"/>
        <v>1.2</v>
      </c>
      <c r="K146" s="54"/>
      <c r="L146" s="34"/>
      <c r="M146" s="77"/>
      <c r="N146" s="22"/>
      <c r="O146" s="28"/>
      <c r="P146" s="22"/>
      <c r="Q146" s="6">
        <f>IF(AND(($O$145=$G$145),(P145&gt;=0.5)),1,2)</f>
        <v>2</v>
      </c>
      <c r="R146" s="6">
        <f t="shared" si="25"/>
        <v>1.2</v>
      </c>
      <c r="S146" s="16"/>
    </row>
    <row r="147" spans="1:19" ht="12.75" customHeight="1" hidden="1">
      <c r="A147" s="23"/>
      <c r="B147" s="23"/>
      <c r="C147" s="53"/>
      <c r="D147" s="22">
        <f>'random numbers'!$B$92</f>
        <v>0.7739930152893066</v>
      </c>
      <c r="E147" s="36">
        <f>ROUND((($K$13)*D147),0)</f>
        <v>1</v>
      </c>
      <c r="F147" s="91" t="str">
        <f ca="1" t="shared" si="26"/>
        <v>l</v>
      </c>
      <c r="G147" s="28">
        <f>IF(F147="v",2,"")</f>
      </c>
      <c r="H147" s="22">
        <f>'random numbers'!$B$161</f>
        <v>0.7710418105125427</v>
      </c>
      <c r="I147" s="28">
        <f>IF(AND(($E$150=$G147),(H147&lt;0.5)),1,2)</f>
        <v>2</v>
      </c>
      <c r="J147" s="28">
        <f t="shared" si="27"/>
      </c>
      <c r="K147" s="54"/>
      <c r="L147" s="34"/>
      <c r="M147" s="77">
        <f>'random numbers'!$B$116</f>
        <v>0.9000663757324219</v>
      </c>
      <c r="N147" s="36">
        <f>IF($C$145&gt;1,ROUND((($K$13)*M147),0),"")</f>
      </c>
      <c r="O147" s="28"/>
      <c r="P147" s="22">
        <f>'random numbers'!$B$167</f>
        <v>0.2715685963630676</v>
      </c>
      <c r="Q147" s="6">
        <f>IF(AND(($O$145=$G147),(P147&lt;0.5)),1,2)</f>
        <v>1</v>
      </c>
      <c r="R147" s="6">
        <f t="shared" si="25"/>
      </c>
      <c r="S147" s="16"/>
    </row>
    <row r="148" spans="1:19" ht="12.75" customHeight="1" hidden="1">
      <c r="A148" s="23"/>
      <c r="B148" s="23"/>
      <c r="C148" s="53"/>
      <c r="D148" s="22">
        <f>'random numbers'!$B$93</f>
        <v>0.8938223719596863</v>
      </c>
      <c r="E148" s="36">
        <f>ROUND((($K$13)*D148),0)</f>
        <v>1</v>
      </c>
      <c r="F148" s="91" t="str">
        <f ca="1" t="shared" si="26"/>
        <v>l</v>
      </c>
      <c r="G148" s="28"/>
      <c r="H148" s="22"/>
      <c r="I148" s="28">
        <f>IF(AND(($E$150=$G$147),($H147&gt;=0.5)),1,2)</f>
        <v>2</v>
      </c>
      <c r="J148" s="28">
        <f t="shared" si="27"/>
      </c>
      <c r="K148" s="54"/>
      <c r="L148" s="34"/>
      <c r="M148" s="77"/>
      <c r="N148" s="22"/>
      <c r="O148" s="28"/>
      <c r="P148" s="22"/>
      <c r="Q148" s="6">
        <f>IF(AND(($O$145=$G$147),(P147&gt;=0.5)),1,2)</f>
        <v>2</v>
      </c>
      <c r="R148" s="6">
        <f t="shared" si="25"/>
      </c>
      <c r="S148" s="16"/>
    </row>
    <row r="149" spans="1:19" ht="12.75" customHeight="1" hidden="1">
      <c r="A149" s="23"/>
      <c r="B149" s="23"/>
      <c r="C149" s="53"/>
      <c r="D149" s="22"/>
      <c r="E149" s="36"/>
      <c r="F149" s="91" t="str">
        <f ca="1" t="shared" si="26"/>
        <v>l</v>
      </c>
      <c r="G149" s="28">
        <f>IF(F149="v",3,"")</f>
      </c>
      <c r="H149" s="22">
        <f>'random numbers'!$B$162</f>
        <v>0.758571982383728</v>
      </c>
      <c r="I149" s="28">
        <f>IF(AND(($E$150=$G149),(H149&lt;0.5)),1,2)</f>
        <v>2</v>
      </c>
      <c r="J149" s="28">
        <f t="shared" si="27"/>
      </c>
      <c r="K149" s="54"/>
      <c r="L149" s="34"/>
      <c r="M149" s="77">
        <f>'random numbers'!$B$117</f>
        <v>0.16941088438034058</v>
      </c>
      <c r="N149" s="36">
        <f>IF($C$145&gt;1,ROUND((($K$13)*M149),0),"")</f>
      </c>
      <c r="O149" s="28"/>
      <c r="P149" s="22">
        <f>'random numbers'!$B$168</f>
        <v>0.8569672107696533</v>
      </c>
      <c r="Q149" s="6">
        <f>IF(AND(($O$145=$G149),(P149&lt;0.5)),1,2)</f>
        <v>2</v>
      </c>
      <c r="R149" s="6">
        <f t="shared" si="25"/>
      </c>
      <c r="S149" s="16"/>
    </row>
    <row r="150" spans="1:19" ht="12.75" customHeight="1" hidden="1">
      <c r="A150" s="23"/>
      <c r="B150" s="23"/>
      <c r="C150" s="53"/>
      <c r="D150" s="22"/>
      <c r="E150" s="94">
        <f>IF(AND((E145&gt;0),(E145&lt;=$K$13)),E145,IF(AND((E146&gt;0),(E146&lt;=$K$13)),E146,IF(AND((E147&gt;0),(E147&lt;=$K$13)),E147,IF(AND((E148&gt;0),(E148&lt;=$K$13)),E148,1))))</f>
        <v>1</v>
      </c>
      <c r="F150" s="91" t="str">
        <f ca="1" t="shared" si="26"/>
        <v>l</v>
      </c>
      <c r="G150" s="28"/>
      <c r="H150" s="22"/>
      <c r="I150" s="28">
        <f>IF(AND(($E$150=$G$149),($H149&gt;=0.5)),1,2)</f>
        <v>2</v>
      </c>
      <c r="J150" s="28">
        <f t="shared" si="27"/>
      </c>
      <c r="K150" s="54"/>
      <c r="L150" s="34"/>
      <c r="M150" s="77"/>
      <c r="N150" s="22"/>
      <c r="O150" s="28"/>
      <c r="P150" s="22"/>
      <c r="Q150" s="6">
        <f>IF(AND(($O$145=$G$149),(P149&gt;=0.5)),1,2)</f>
        <v>1</v>
      </c>
      <c r="R150" s="6">
        <f t="shared" si="25"/>
      </c>
      <c r="S150" s="16"/>
    </row>
    <row r="151" spans="1:19" ht="12.75" customHeight="1" hidden="1">
      <c r="A151" s="23"/>
      <c r="B151" s="23"/>
      <c r="C151" s="53"/>
      <c r="D151" s="22"/>
      <c r="E151" s="36"/>
      <c r="F151" s="91" t="str">
        <f ca="1" t="shared" si="26"/>
        <v>l</v>
      </c>
      <c r="G151" s="28">
        <f>IF(F151="v",4,"")</f>
      </c>
      <c r="H151" s="22">
        <f>'random numbers'!$B$163</f>
        <v>0.3891821503639221</v>
      </c>
      <c r="I151" s="28">
        <f>IF(AND(($E$150=$G151),(H151&lt;0.5)),1,2)</f>
        <v>2</v>
      </c>
      <c r="J151" s="28">
        <f t="shared" si="27"/>
      </c>
      <c r="K151" s="54"/>
      <c r="L151" s="34"/>
      <c r="M151" s="77">
        <f>'random numbers'!$B$118</f>
        <v>0.8254276514053345</v>
      </c>
      <c r="N151" s="36">
        <f>IF($C$145&gt;1,ROUND((($K$13)*M151),0),"")</f>
      </c>
      <c r="O151" s="28"/>
      <c r="P151" s="22">
        <f>'random numbers'!$B$169</f>
        <v>0.6690697073936462</v>
      </c>
      <c r="Q151" s="6">
        <f>IF(AND(($O$145=$G151),(P151&lt;0.5)),1,2)</f>
        <v>2</v>
      </c>
      <c r="R151" s="6">
        <f t="shared" si="25"/>
      </c>
      <c r="S151" s="16"/>
    </row>
    <row r="152" spans="1:19" ht="12.75" customHeight="1" hidden="1">
      <c r="A152" s="23"/>
      <c r="B152" s="23"/>
      <c r="C152" s="53"/>
      <c r="D152" s="22"/>
      <c r="E152" s="36"/>
      <c r="F152" s="91" t="str">
        <f ca="1" t="shared" si="26"/>
        <v>l</v>
      </c>
      <c r="G152" s="28"/>
      <c r="H152" s="22"/>
      <c r="I152" s="28">
        <f>IF(AND(($E$150=$G$151),($H151&gt;=0.5)),1,2)</f>
        <v>2</v>
      </c>
      <c r="J152" s="28">
        <f t="shared" si="27"/>
      </c>
      <c r="K152" s="54"/>
      <c r="L152" s="34"/>
      <c r="M152" s="77"/>
      <c r="N152" s="22"/>
      <c r="O152" s="28"/>
      <c r="P152" s="22"/>
      <c r="Q152" s="6">
        <f>IF(AND(($O$145=$G$151),(P151&gt;=0.5)),1,2)</f>
        <v>1</v>
      </c>
      <c r="R152" s="6">
        <f t="shared" si="25"/>
      </c>
      <c r="S152" s="16"/>
    </row>
    <row r="153" spans="1:19" ht="12.75" customHeight="1" hidden="1">
      <c r="A153" s="23"/>
      <c r="B153" s="23"/>
      <c r="C153" s="53"/>
      <c r="D153" s="22"/>
      <c r="E153" s="36"/>
      <c r="F153" s="91" t="str">
        <f ca="1" t="shared" si="26"/>
        <v>l</v>
      </c>
      <c r="G153" s="28">
        <f>IF(F153="v",5,"")</f>
      </c>
      <c r="H153" s="22">
        <f>'random numbers'!$B$164</f>
        <v>0.15524959564208984</v>
      </c>
      <c r="I153" s="28">
        <f>IF(AND(($E$150=$G153),(H153&lt;0.5)),1,2)</f>
        <v>2</v>
      </c>
      <c r="J153" s="28">
        <f t="shared" si="27"/>
      </c>
      <c r="K153" s="54"/>
      <c r="L153" s="34"/>
      <c r="M153" s="77">
        <f>'random numbers'!$B$119</f>
        <v>0.6527264714241028</v>
      </c>
      <c r="N153" s="36">
        <f>IF($C$145&gt;1,ROUND((($K$13)*M153),0),"")</f>
      </c>
      <c r="O153" s="28"/>
      <c r="P153" s="22">
        <f>'random numbers'!$B$170</f>
        <v>0.4653671979904175</v>
      </c>
      <c r="Q153" s="6">
        <f>IF(AND(($O$145=$G153),(P153&lt;0.5)),1,2)</f>
        <v>1</v>
      </c>
      <c r="R153" s="6">
        <f t="shared" si="25"/>
      </c>
      <c r="S153" s="16"/>
    </row>
    <row r="154" spans="1:19" ht="12.75" customHeight="1" hidden="1">
      <c r="A154" s="23"/>
      <c r="B154" s="23"/>
      <c r="C154" s="53"/>
      <c r="D154" s="22"/>
      <c r="E154" s="36"/>
      <c r="F154" s="91" t="str">
        <f ca="1" t="shared" si="26"/>
        <v>l</v>
      </c>
      <c r="G154" s="28"/>
      <c r="H154" s="22"/>
      <c r="I154" s="28">
        <f>IF(AND(($E$150=$G$153),($H153&gt;=0.5)),1,2)</f>
        <v>2</v>
      </c>
      <c r="J154" s="28">
        <f t="shared" si="27"/>
      </c>
      <c r="K154" s="54"/>
      <c r="L154" s="34"/>
      <c r="M154" s="53"/>
      <c r="N154" s="22"/>
      <c r="O154" s="28"/>
      <c r="P154" s="22"/>
      <c r="Q154" s="6">
        <f>IF(AND(($O$145=$G$153),(P153&gt;=0.5)),1,2)</f>
        <v>2</v>
      </c>
      <c r="R154" s="6">
        <f t="shared" si="25"/>
      </c>
      <c r="S154" s="16"/>
    </row>
    <row r="155" spans="1:19" ht="12.75" customHeight="1" hidden="1">
      <c r="A155" s="23"/>
      <c r="B155" s="23"/>
      <c r="C155" s="53"/>
      <c r="D155" s="22"/>
      <c r="E155" s="36"/>
      <c r="F155" s="91" t="str">
        <f ca="1" t="shared" si="26"/>
        <v>l</v>
      </c>
      <c r="G155" s="28">
        <f>IF(F155="v",6,"")</f>
      </c>
      <c r="H155" s="22">
        <f>'random numbers'!$B$165</f>
        <v>0.5708534121513367</v>
      </c>
      <c r="I155" s="28">
        <f>IF(AND(($E$150=$G155),(H155&lt;0.5)),1,2)</f>
        <v>2</v>
      </c>
      <c r="J155" s="28">
        <f t="shared" si="27"/>
      </c>
      <c r="K155" s="54"/>
      <c r="L155" s="34"/>
      <c r="M155" s="95" t="s">
        <v>231</v>
      </c>
      <c r="N155" s="94">
        <f>IF(AND(($N$145&gt;0),($N$145&lt;=$K$13)),$N$145,IF(AND(($N$147&gt;0),($N$147&lt;=$K$13)),$N$147,IF(AND(($N$149&gt;0),($N$149&lt;=$K$13)),$N$149,1)))</f>
        <v>1</v>
      </c>
      <c r="O155" s="28"/>
      <c r="P155" s="22">
        <f>'random numbers'!$B$171</f>
        <v>0.5661597847938538</v>
      </c>
      <c r="Q155" s="6">
        <f>IF(AND(($O$145=$G155),(P155&lt;0.5)),1,2)</f>
        <v>2</v>
      </c>
      <c r="R155" s="6">
        <f t="shared" si="25"/>
      </c>
      <c r="S155" s="16"/>
    </row>
    <row r="156" spans="1:19" ht="12.75" customHeight="1" hidden="1">
      <c r="A156" s="23"/>
      <c r="B156" s="23"/>
      <c r="C156" s="53"/>
      <c r="D156" s="22"/>
      <c r="E156" s="36"/>
      <c r="F156" s="91" t="str">
        <f ca="1" t="shared" si="26"/>
        <v>l</v>
      </c>
      <c r="G156" s="28"/>
      <c r="H156" s="22"/>
      <c r="I156" s="28">
        <f>IF(AND(($E$150=$G$155),($H155&gt;=0.5)),1,2)</f>
        <v>2</v>
      </c>
      <c r="J156" s="28">
        <f t="shared" si="27"/>
      </c>
      <c r="K156" s="54"/>
      <c r="L156" s="34"/>
      <c r="M156" s="95" t="s">
        <v>232</v>
      </c>
      <c r="N156" s="94">
        <f>IF(AND(($N$147&gt;0),($N$147&lt;=$K$13)),$N$147,IF(AND(($N$149&gt;0),($N$149&lt;=$K$13)),$N$149,1))</f>
        <v>1</v>
      </c>
      <c r="O156" s="28"/>
      <c r="P156" s="22"/>
      <c r="Q156" s="6">
        <f>IF(AND(($O$145=$G$155),(P155&gt;=0.5)),1,2)</f>
        <v>1</v>
      </c>
      <c r="R156" s="6">
        <f t="shared" si="25"/>
      </c>
      <c r="S156" s="16"/>
    </row>
    <row r="157" spans="1:19" ht="12.75" customHeight="1" hidden="1" thickBot="1">
      <c r="A157" s="23"/>
      <c r="B157" s="23"/>
      <c r="C157" s="62"/>
      <c r="D157" s="63"/>
      <c r="E157" s="65"/>
      <c r="F157" s="66"/>
      <c r="G157" s="63"/>
      <c r="H157" s="64"/>
      <c r="I157" s="63"/>
      <c r="J157" s="63"/>
      <c r="K157" s="67"/>
      <c r="L157" s="22"/>
      <c r="M157" s="96" t="s">
        <v>233</v>
      </c>
      <c r="N157" s="94">
        <f>IF(AND(($N$149&gt;0),($N$149&lt;=$K$13)),$N$149,1)</f>
        <v>1</v>
      </c>
      <c r="O157" s="64"/>
      <c r="P157" s="97"/>
      <c r="Q157" s="18"/>
      <c r="R157" s="18"/>
      <c r="S157" s="20"/>
    </row>
    <row r="158" spans="1:17" ht="12.75" customHeight="1" hidden="1">
      <c r="A158" s="22"/>
      <c r="B158" s="22"/>
      <c r="C158" s="23"/>
      <c r="D158" s="23"/>
      <c r="E158" s="23"/>
      <c r="F158" s="23"/>
      <c r="G158" s="23"/>
      <c r="H158" s="23"/>
      <c r="I158" s="23"/>
      <c r="J158" s="23"/>
      <c r="K158" s="23"/>
      <c r="L158" s="36"/>
      <c r="M158" s="42"/>
      <c r="N158" s="23"/>
      <c r="O158" s="23"/>
      <c r="P158" s="23"/>
      <c r="Q158" s="4"/>
    </row>
    <row r="159" spans="1:17" ht="12.75" customHeight="1" hidden="1">
      <c r="A159" s="22"/>
      <c r="B159" s="22"/>
      <c r="C159" s="22"/>
      <c r="D159" s="22"/>
      <c r="E159" s="22"/>
      <c r="F159" s="23"/>
      <c r="G159" s="23"/>
      <c r="H159" s="23"/>
      <c r="I159" s="23"/>
      <c r="K159" s="23"/>
      <c r="L159" s="23"/>
      <c r="M159" s="36"/>
      <c r="N159" s="42"/>
      <c r="O159" s="23"/>
      <c r="P159" s="23"/>
      <c r="Q159" s="4"/>
    </row>
    <row r="160" spans="1:23" ht="12.75" customHeight="1" hidden="1" thickBot="1">
      <c r="A160" s="22"/>
      <c r="B160" s="22"/>
      <c r="C160" s="47" t="s">
        <v>209</v>
      </c>
      <c r="D160" s="47"/>
      <c r="E160" s="47"/>
      <c r="F160" s="23"/>
      <c r="G160" s="23"/>
      <c r="H160" s="23"/>
      <c r="I160" s="23"/>
      <c r="M160" s="23"/>
      <c r="N160" s="23"/>
      <c r="O160" s="36"/>
      <c r="P160" s="42"/>
      <c r="Q160" s="23"/>
      <c r="R160" t="s">
        <v>38</v>
      </c>
      <c r="S160" s="68" t="s">
        <v>223</v>
      </c>
      <c r="T160" s="23"/>
      <c r="U160" s="4"/>
      <c r="W160"/>
    </row>
    <row r="161" spans="1:23" ht="12.75" customHeight="1" hidden="1" thickBot="1">
      <c r="A161" s="22"/>
      <c r="B161" s="22"/>
      <c r="C161" s="48"/>
      <c r="D161" s="49"/>
      <c r="E161" s="49"/>
      <c r="F161" s="49"/>
      <c r="G161" s="49"/>
      <c r="H161" s="49"/>
      <c r="I161" s="51" t="s">
        <v>198</v>
      </c>
      <c r="J161" s="202" t="s">
        <v>227</v>
      </c>
      <c r="K161" s="202" t="s">
        <v>228</v>
      </c>
      <c r="L161" s="202" t="s">
        <v>403</v>
      </c>
      <c r="M161" s="49"/>
      <c r="N161" s="49"/>
      <c r="O161" s="50"/>
      <c r="P161" s="98"/>
      <c r="Q161" s="23"/>
      <c r="R161" t="s">
        <v>357</v>
      </c>
      <c r="S161" s="23"/>
      <c r="T161" s="23"/>
      <c r="W161"/>
    </row>
    <row r="162" spans="1:23" ht="12.75" customHeight="1" hidden="1">
      <c r="A162" s="22"/>
      <c r="B162" s="22"/>
      <c r="C162" s="53"/>
      <c r="D162" s="22"/>
      <c r="E162" s="22"/>
      <c r="F162" s="22"/>
      <c r="G162" s="22"/>
      <c r="H162" s="22"/>
      <c r="I162" s="28" t="s">
        <v>199</v>
      </c>
      <c r="J162" s="198" t="s">
        <v>151</v>
      </c>
      <c r="K162" s="198" t="s">
        <v>151</v>
      </c>
      <c r="L162" s="198" t="s">
        <v>151</v>
      </c>
      <c r="M162" s="28" t="s">
        <v>193</v>
      </c>
      <c r="N162" s="28" t="s">
        <v>43</v>
      </c>
      <c r="O162" s="28" t="s">
        <v>205</v>
      </c>
      <c r="P162" s="99"/>
      <c r="Q162" s="23"/>
      <c r="S162" s="48"/>
      <c r="T162" s="49"/>
      <c r="U162" s="14"/>
      <c r="V162" s="14"/>
      <c r="W162" s="15"/>
    </row>
    <row r="163" spans="1:23" ht="12.75" customHeight="1" hidden="1">
      <c r="A163" s="22"/>
      <c r="B163" s="22"/>
      <c r="C163" s="53"/>
      <c r="D163" s="22"/>
      <c r="E163" s="22"/>
      <c r="F163" s="22"/>
      <c r="G163" s="22"/>
      <c r="H163" s="22"/>
      <c r="I163" s="28" t="s">
        <v>200</v>
      </c>
      <c r="J163" s="198" t="s">
        <v>34</v>
      </c>
      <c r="K163" s="198" t="s">
        <v>34</v>
      </c>
      <c r="L163" s="198" t="s">
        <v>8</v>
      </c>
      <c r="M163" s="28" t="s">
        <v>201</v>
      </c>
      <c r="N163" s="28" t="s">
        <v>34</v>
      </c>
      <c r="O163" s="28" t="s">
        <v>206</v>
      </c>
      <c r="P163" s="80" t="s">
        <v>201</v>
      </c>
      <c r="Q163" s="23"/>
      <c r="R163" t="str">
        <f>IF(AND(($L$8="Yes"),($L$9="No")),"Yes","No")</f>
        <v>Yes</v>
      </c>
      <c r="S163" s="100" t="s">
        <v>215</v>
      </c>
      <c r="T163" s="93" t="s">
        <v>216</v>
      </c>
      <c r="U163" s="8" t="s">
        <v>218</v>
      </c>
      <c r="V163" s="8" t="s">
        <v>219</v>
      </c>
      <c r="W163" s="16"/>
    </row>
    <row r="164" spans="1:23" ht="12.75" customHeight="1" hidden="1">
      <c r="A164" s="22"/>
      <c r="B164" s="22"/>
      <c r="C164" s="53"/>
      <c r="D164" s="22"/>
      <c r="E164" s="22"/>
      <c r="F164" s="22"/>
      <c r="G164" s="28" t="s">
        <v>151</v>
      </c>
      <c r="H164" s="28" t="s">
        <v>12</v>
      </c>
      <c r="I164" s="28" t="s">
        <v>151</v>
      </c>
      <c r="J164" s="198"/>
      <c r="K164" s="198"/>
      <c r="L164" s="199" t="s">
        <v>34</v>
      </c>
      <c r="M164" s="28" t="s">
        <v>195</v>
      </c>
      <c r="N164" s="28" t="s">
        <v>21</v>
      </c>
      <c r="O164" s="28" t="s">
        <v>43</v>
      </c>
      <c r="P164" s="80" t="s">
        <v>203</v>
      </c>
      <c r="Q164" s="23"/>
      <c r="S164" s="100" t="s">
        <v>45</v>
      </c>
      <c r="T164" s="93" t="s">
        <v>217</v>
      </c>
      <c r="U164" s="8" t="s">
        <v>45</v>
      </c>
      <c r="V164" s="8" t="s">
        <v>217</v>
      </c>
      <c r="W164" s="16"/>
    </row>
    <row r="165" spans="1:23" ht="12.75" customHeight="1" hidden="1">
      <c r="A165" s="22"/>
      <c r="B165" s="22"/>
      <c r="C165" s="77" t="str">
        <f aca="true" t="shared" si="28" ref="C165:C179">C23</f>
        <v>Mat</v>
      </c>
      <c r="D165" s="28" t="str">
        <f aca="true" t="shared" si="29" ref="D165:D179">J23</f>
        <v>Test</v>
      </c>
      <c r="E165" s="28" t="str">
        <f aca="true" t="shared" si="30" ref="E165:E179">E23</f>
        <v>Mat</v>
      </c>
      <c r="F165" s="28">
        <f>D23</f>
        <v>0</v>
      </c>
      <c r="G165" s="28" t="s">
        <v>34</v>
      </c>
      <c r="H165" s="28" t="s">
        <v>24</v>
      </c>
      <c r="I165" s="28" t="s">
        <v>34</v>
      </c>
      <c r="J165" s="198"/>
      <c r="K165" s="198"/>
      <c r="L165" s="198"/>
      <c r="M165" s="28" t="s">
        <v>202</v>
      </c>
      <c r="N165" s="28" t="s">
        <v>192</v>
      </c>
      <c r="O165" s="28" t="s">
        <v>207</v>
      </c>
      <c r="P165" s="80" t="s">
        <v>204</v>
      </c>
      <c r="Q165" s="23"/>
      <c r="S165" s="100" t="s">
        <v>42</v>
      </c>
      <c r="T165" s="22"/>
      <c r="U165" s="8" t="s">
        <v>42</v>
      </c>
      <c r="V165" s="4"/>
      <c r="W165" s="16"/>
    </row>
    <row r="166" spans="1:23" ht="12.75" customHeight="1" hidden="1">
      <c r="A166" s="22"/>
      <c r="B166" s="22"/>
      <c r="C166" s="77" t="str">
        <f t="shared" si="28"/>
        <v>Core</v>
      </c>
      <c r="D166" s="28" t="str">
        <f t="shared" si="29"/>
        <v>Companion</v>
      </c>
      <c r="E166" s="28" t="str">
        <f t="shared" si="30"/>
        <v>Core</v>
      </c>
      <c r="F166" s="28" t="str">
        <f>D24</f>
        <v>Name</v>
      </c>
      <c r="G166" s="28" t="s">
        <v>173</v>
      </c>
      <c r="H166" s="28" t="s">
        <v>149</v>
      </c>
      <c r="I166" s="28" t="s">
        <v>149</v>
      </c>
      <c r="J166" s="199" t="s">
        <v>149</v>
      </c>
      <c r="K166" s="199" t="s">
        <v>149</v>
      </c>
      <c r="L166" s="199" t="s">
        <v>149</v>
      </c>
      <c r="M166" s="28" t="s">
        <v>197</v>
      </c>
      <c r="N166" s="22"/>
      <c r="O166" s="28" t="s">
        <v>196</v>
      </c>
      <c r="P166" s="80" t="s">
        <v>149</v>
      </c>
      <c r="Q166" s="23"/>
      <c r="S166" s="53"/>
      <c r="T166" s="22"/>
      <c r="U166" s="4"/>
      <c r="V166" s="4"/>
      <c r="W166" s="16"/>
    </row>
    <row r="167" spans="1:23" ht="12.75" customHeight="1" hidden="1">
      <c r="A167" s="22"/>
      <c r="B167" s="22"/>
      <c r="C167" s="77" t="str">
        <f t="shared" si="28"/>
        <v>ID</v>
      </c>
      <c r="D167" s="28" t="str">
        <f t="shared" si="29"/>
        <v>Core</v>
      </c>
      <c r="E167" s="28" t="str">
        <f t="shared" si="30"/>
        <v>Station</v>
      </c>
      <c r="F167" s="28"/>
      <c r="G167" s="22"/>
      <c r="H167" s="28"/>
      <c r="I167" s="28"/>
      <c r="J167" s="198"/>
      <c r="K167" s="198"/>
      <c r="L167" s="198"/>
      <c r="M167" s="22"/>
      <c r="N167" s="22"/>
      <c r="O167" s="36" t="s">
        <v>208</v>
      </c>
      <c r="P167" s="99"/>
      <c r="Q167" s="23"/>
      <c r="S167" s="53"/>
      <c r="T167" s="22"/>
      <c r="U167" s="4"/>
      <c r="V167" s="4"/>
      <c r="W167" s="16"/>
    </row>
    <row r="168" spans="1:23" ht="12.75" customHeight="1" hidden="1">
      <c r="A168" s="22"/>
      <c r="B168" s="22"/>
      <c r="C168" s="77">
        <f t="shared" si="28"/>
        <v>1.1</v>
      </c>
      <c r="D168" s="28">
        <f t="shared" si="29"/>
      </c>
      <c r="E168" s="101">
        <f t="shared" si="30"/>
        <v>8.56632548570633</v>
      </c>
      <c r="F168" s="28" t="str">
        <f>E102</f>
        <v>A</v>
      </c>
      <c r="G168" s="22">
        <f>'random numbers'!$B100</f>
        <v>0.5382719039916992</v>
      </c>
      <c r="H168" s="28">
        <f aca="true" t="shared" si="31" ref="H168:H179">VLOOKUP(F168,$E$83:$H$92,4,FALSE)</f>
        <v>10</v>
      </c>
      <c r="I168" s="102">
        <f aca="true" t="shared" si="32" ref="I168:I179">IF(C168="","",IF(((H168*G168)&lt;1),1,IF(((H168*G168)&gt;(H168-1)),H168-1,H168*G168)))</f>
        <v>5.382719039916992</v>
      </c>
      <c r="J168" s="200" t="str">
        <f>IF(C168="","",IF(I26="confined",IF((G168*H168)&lt;0.5,0.5,IF(((G168*H168)&gt;(H168-0.5)),(H168-0.5),(G168*H168))),"unconf/blank"))</f>
        <v>unconf/blank</v>
      </c>
      <c r="K168" s="200">
        <f>IF(C168="","",IF(OR((I26="unconfined"),(I26="")),IF((G168*H168)&lt;1,1,IF((G168*H168)&gt;(H168-1),(H168-1),(G168*H168))),"confined"))</f>
        <v>5.382719039916992</v>
      </c>
      <c r="L168" s="201">
        <f>IF(J168="unconf/blank",K168,J168)</f>
        <v>5.382719039916992</v>
      </c>
      <c r="M168" s="28">
        <f aca="true" t="shared" si="33" ref="M168:M179">IF(OR(($K$145=C168),($S$145=C168)),1,2)</f>
        <v>1</v>
      </c>
      <c r="N168" s="22">
        <f>'random numbers'!B180</f>
        <v>0.2682647705078125</v>
      </c>
      <c r="O168" s="36">
        <f aca="true" t="shared" si="34" ref="O168:O179">IF(N168&lt;0.5,-2,2)</f>
        <v>-2</v>
      </c>
      <c r="P168" s="170">
        <f>IF(C168="","",IF($R$163="No",L168,IF(M168=1,(((H168)/2)+O168),I168)))</f>
        <v>3</v>
      </c>
      <c r="Q168" s="23"/>
      <c r="S168" s="77">
        <f>IF(C168="","",IF($R$163="No","",IF(M168=1,C168+0.2,"")))</f>
        <v>1.3</v>
      </c>
      <c r="T168" s="28" t="str">
        <f>IF(C168="","",IF($R$163="No","",IF(M168=1,"Core 0.5 ft. from Left Edge","")))</f>
        <v>Core 0.5 ft. from Left Edge</v>
      </c>
      <c r="U168" s="6">
        <f>IF(C168="","",IF($R$163="No","",IF(M168=1,C168+0.3,"")))</f>
        <v>1.4000000000000001</v>
      </c>
      <c r="V168" s="6" t="str">
        <f>IF(C168="","",IF($R$163="No","",IF(M168=1,"Core 0.5 ft. from Right Edge","")))</f>
        <v>Core 0.5 ft. from Right Edge</v>
      </c>
      <c r="W168" s="16"/>
    </row>
    <row r="169" spans="1:23" ht="12.75" customHeight="1" hidden="1">
      <c r="A169" s="22"/>
      <c r="B169" s="22"/>
      <c r="C169" s="77">
        <f t="shared" si="28"/>
        <v>1.2</v>
      </c>
      <c r="D169" s="28" t="str">
        <f t="shared" si="29"/>
        <v>Y</v>
      </c>
      <c r="E169" s="101">
        <f t="shared" si="30"/>
        <v>3.6512563228607178</v>
      </c>
      <c r="F169" s="28" t="str">
        <f>F102</f>
        <v>A</v>
      </c>
      <c r="G169" s="22">
        <f>'random numbers'!$B101</f>
        <v>0.8241302371025085</v>
      </c>
      <c r="H169" s="28">
        <f t="shared" si="31"/>
        <v>10</v>
      </c>
      <c r="I169" s="102">
        <f t="shared" si="32"/>
        <v>8.241302371025085</v>
      </c>
      <c r="J169" s="200" t="str">
        <f aca="true" t="shared" si="35" ref="J169:J179">IF(C169="","",IF(I27="confined",IF((G169*H169)&lt;0.5,0.5,IF(((G169*H169)&gt;(H169-0.5)),(H169-0.5),(G169*H169))),"unconf/blank"))</f>
        <v>unconf/blank</v>
      </c>
      <c r="K169" s="200">
        <f aca="true" t="shared" si="36" ref="K169:K179">IF(C169="","",IF(OR((I27="unconfined"),(I27="")),IF((G169*H169)&lt;1,1,IF((G169*H169)&gt;(H169-1),(H169-1),(G169*H169))),"confined"))</f>
        <v>8.241302371025085</v>
      </c>
      <c r="L169" s="201">
        <f aca="true" t="shared" si="37" ref="L169:L179">IF(J169="unconf/blank",K169,J169)</f>
        <v>8.241302371025085</v>
      </c>
      <c r="M169" s="28">
        <f t="shared" si="33"/>
        <v>2</v>
      </c>
      <c r="N169" s="22">
        <f>'random numbers'!B181</f>
        <v>0.9124719500541687</v>
      </c>
      <c r="O169" s="36">
        <f t="shared" si="34"/>
        <v>2</v>
      </c>
      <c r="P169" s="170">
        <f aca="true" t="shared" si="38" ref="P169:P179">IF(C169="","",IF($R$163="No",L169,IF(M169=1,(((H169)/2)+O169),I169)))</f>
        <v>8.241302371025085</v>
      </c>
      <c r="Q169" s="23"/>
      <c r="S169" s="77">
        <f>IF(C168="","",IF($R$163="No","",IF(M169=1,C169+0.1,"")))</f>
      </c>
      <c r="T169" s="28">
        <f>IF(C168="","",IF($R$163="No","",IF(M169=1,"Core 0.5 ft. from Left Edge","")))</f>
      </c>
      <c r="U169" s="6">
        <f>IF(C168="","",IF($R$163="No","",IF(M169=1,C169+0.2,"")))</f>
      </c>
      <c r="V169" s="6">
        <f>IF(C168="","",IF($R$163="No","",IF(M169=1,"Core 0.5 ft. from Right Edge","")))</f>
      </c>
      <c r="W169" s="16"/>
    </row>
    <row r="170" spans="1:23" ht="12.75" customHeight="1" hidden="1">
      <c r="A170" s="22"/>
      <c r="B170" s="22"/>
      <c r="C170" s="77">
        <f t="shared" si="28"/>
      </c>
      <c r="D170" s="28" t="str">
        <f t="shared" si="29"/>
        <v>Y</v>
      </c>
      <c r="E170" s="101">
        <f t="shared" si="30"/>
      </c>
      <c r="F170" s="28" t="str">
        <f>G102</f>
        <v>J</v>
      </c>
      <c r="G170" s="22">
        <f>'random numbers'!$B102</f>
        <v>0.15326178073883057</v>
      </c>
      <c r="H170" s="28">
        <f t="shared" si="31"/>
        <v>0</v>
      </c>
      <c r="I170" s="102">
        <f t="shared" si="32"/>
      </c>
      <c r="J170" s="200">
        <f t="shared" si="35"/>
      </c>
      <c r="K170" s="200">
        <f t="shared" si="36"/>
      </c>
      <c r="L170" s="201">
        <f t="shared" si="37"/>
      </c>
      <c r="M170" s="28">
        <f t="shared" si="33"/>
        <v>1</v>
      </c>
      <c r="N170" s="22">
        <f>'random numbers'!B182</f>
        <v>0.0532757043838501</v>
      </c>
      <c r="O170" s="36">
        <f t="shared" si="34"/>
        <v>-2</v>
      </c>
      <c r="P170" s="170">
        <f t="shared" si="38"/>
      </c>
      <c r="Q170" s="23"/>
      <c r="S170" s="77">
        <f>IF(C170="","",IF($R$163="No","",IF(M170=1,C170+0.2,"")))</f>
      </c>
      <c r="T170" s="28">
        <f>IF(C170="","",IF($R$163="No","",IF(M170=1,"Core 0.5 ft. from Left Edge","")))</f>
      </c>
      <c r="U170" s="6">
        <f>IF(C170="","",IF($R$163="No","",IF(M170=1,C170+0.3,"")))</f>
      </c>
      <c r="V170" s="6">
        <f>IF(C170="","",IF($R$163="No","",IF(M170=1,"Core 0.5 ft. from Right Edge","")))</f>
      </c>
      <c r="W170" s="16"/>
    </row>
    <row r="171" spans="1:23" ht="12.75" customHeight="1" hidden="1">
      <c r="A171" s="22"/>
      <c r="B171" s="22"/>
      <c r="C171" s="77">
        <f t="shared" si="28"/>
      </c>
      <c r="D171" s="28">
        <f t="shared" si="29"/>
      </c>
      <c r="E171" s="101">
        <f t="shared" si="30"/>
      </c>
      <c r="F171" s="28" t="str">
        <f>H102</f>
        <v>J</v>
      </c>
      <c r="G171" s="22">
        <f>'random numbers'!$B103</f>
        <v>0.7932475209236145</v>
      </c>
      <c r="H171" s="28">
        <f t="shared" si="31"/>
        <v>0</v>
      </c>
      <c r="I171" s="102">
        <f t="shared" si="32"/>
      </c>
      <c r="J171" s="200">
        <f t="shared" si="35"/>
      </c>
      <c r="K171" s="200">
        <f t="shared" si="36"/>
      </c>
      <c r="L171" s="201">
        <f t="shared" si="37"/>
      </c>
      <c r="M171" s="28">
        <f t="shared" si="33"/>
        <v>1</v>
      </c>
      <c r="N171" s="22">
        <f>'random numbers'!B183</f>
        <v>0.5980885624885559</v>
      </c>
      <c r="O171" s="36">
        <f t="shared" si="34"/>
        <v>2</v>
      </c>
      <c r="P171" s="170">
        <f t="shared" si="38"/>
      </c>
      <c r="Q171" s="23"/>
      <c r="S171" s="77">
        <f>IF(C170="","",IF($R$163="No","",IF(M171=1,C171+0.1,"")))</f>
      </c>
      <c r="T171" s="28">
        <f>IF(C170="","",IF($R$163="No","",IF(M171=1,"Core 0.5 ft. from Left Edge","")))</f>
      </c>
      <c r="U171" s="6">
        <f>IF(C170="","",IF($R$163="No","",IF(M171=1,C171+0.2,"")))</f>
      </c>
      <c r="V171" s="6">
        <f>IF(C170="","",IF($R$163="No","",IF(M171=1,"Core 0.5 ft. from Right Edge","")))</f>
      </c>
      <c r="W171" s="16"/>
    </row>
    <row r="172" spans="1:23" ht="12.75" customHeight="1" hidden="1">
      <c r="A172" s="22"/>
      <c r="B172" s="22"/>
      <c r="C172" s="77">
        <f t="shared" si="28"/>
      </c>
      <c r="D172" s="28" t="str">
        <f t="shared" si="29"/>
        <v>Y</v>
      </c>
      <c r="E172" s="101">
        <f t="shared" si="30"/>
      </c>
      <c r="F172" s="28" t="str">
        <f>I102</f>
        <v>J</v>
      </c>
      <c r="G172" s="22">
        <f>'random numbers'!$B104</f>
        <v>0.4286491870880127</v>
      </c>
      <c r="H172" s="28">
        <f t="shared" si="31"/>
        <v>0</v>
      </c>
      <c r="I172" s="102">
        <f t="shared" si="32"/>
      </c>
      <c r="J172" s="200">
        <f t="shared" si="35"/>
      </c>
      <c r="K172" s="200">
        <f t="shared" si="36"/>
      </c>
      <c r="L172" s="201">
        <f t="shared" si="37"/>
      </c>
      <c r="M172" s="28">
        <f t="shared" si="33"/>
        <v>1</v>
      </c>
      <c r="N172" s="22">
        <f>'random numbers'!B184</f>
        <v>0.4994776248931885</v>
      </c>
      <c r="O172" s="36">
        <f t="shared" si="34"/>
        <v>-2</v>
      </c>
      <c r="P172" s="170">
        <f t="shared" si="38"/>
      </c>
      <c r="Q172" s="23"/>
      <c r="S172" s="77">
        <f>IF(C172="","",IF($R$163="No","",IF(M172=1,C172+0.2,"")))</f>
      </c>
      <c r="T172" s="28">
        <f>IF(C172="","",IF($R$163="No","",IF(M172=1,"Core 0.5 ft. from Left Edge","")))</f>
      </c>
      <c r="U172" s="6">
        <f>IF(C172="","",IF($R$163="No","",IF(M172=1,C172+0.3,"")))</f>
      </c>
      <c r="V172" s="6">
        <f>IF(C172="","",IF($R$163="No","",IF(M172=1,"Core 0.5 ft. from Right Edge","")))</f>
      </c>
      <c r="W172" s="16"/>
    </row>
    <row r="173" spans="1:23" ht="12.75" customHeight="1" hidden="1">
      <c r="A173" s="22"/>
      <c r="B173" s="22"/>
      <c r="C173" s="77">
        <f t="shared" si="28"/>
      </c>
      <c r="D173" s="28">
        <f t="shared" si="29"/>
      </c>
      <c r="E173" s="101">
        <f t="shared" si="30"/>
      </c>
      <c r="F173" s="28" t="str">
        <f>J102</f>
        <v>J</v>
      </c>
      <c r="G173" s="22">
        <f>'random numbers'!$B105</f>
        <v>0.5438675284385681</v>
      </c>
      <c r="H173" s="28">
        <f t="shared" si="31"/>
        <v>0</v>
      </c>
      <c r="I173" s="102">
        <f t="shared" si="32"/>
      </c>
      <c r="J173" s="200">
        <f t="shared" si="35"/>
      </c>
      <c r="K173" s="200">
        <f t="shared" si="36"/>
      </c>
      <c r="L173" s="201">
        <f t="shared" si="37"/>
      </c>
      <c r="M173" s="28">
        <f t="shared" si="33"/>
        <v>1</v>
      </c>
      <c r="N173" s="22">
        <f>'random numbers'!B185</f>
        <v>0.8753275275230408</v>
      </c>
      <c r="O173" s="36">
        <f t="shared" si="34"/>
        <v>2</v>
      </c>
      <c r="P173" s="170">
        <f t="shared" si="38"/>
      </c>
      <c r="Q173" s="23"/>
      <c r="S173" s="77">
        <f>IF(C172="","",IF($R$163="No","",IF(M173=1,C173+0.1,"")))</f>
      </c>
      <c r="T173" s="28">
        <f>IF(C172="","",IF($R$163="No","",IF(M173=1,"Core 0.5 ft. from Left Edge","")))</f>
      </c>
      <c r="U173" s="6">
        <f>IF(C172="","",IF($R$163="No","",IF(M173=1,C173+0.2,"")))</f>
      </c>
      <c r="V173" s="6">
        <f>IF(C172="","",IF($R$163="No","",IF(M173=1,"Core 0.5 ft. from Right Edge","")))</f>
      </c>
      <c r="W173" s="16"/>
    </row>
    <row r="174" spans="1:23" ht="12.75" customHeight="1" hidden="1">
      <c r="A174" s="22"/>
      <c r="B174" s="22"/>
      <c r="C174" s="77">
        <f t="shared" si="28"/>
      </c>
      <c r="D174" s="28" t="str">
        <f t="shared" si="29"/>
        <v>Y</v>
      </c>
      <c r="E174" s="101">
        <f t="shared" si="30"/>
      </c>
      <c r="F174" s="28" t="str">
        <f>K102</f>
        <v>J</v>
      </c>
      <c r="G174" s="22">
        <f>'random numbers'!$B106</f>
        <v>0.07144248485565186</v>
      </c>
      <c r="H174" s="28">
        <f t="shared" si="31"/>
        <v>0</v>
      </c>
      <c r="I174" s="102">
        <f t="shared" si="32"/>
      </c>
      <c r="J174" s="200">
        <f t="shared" si="35"/>
      </c>
      <c r="K174" s="200">
        <f t="shared" si="36"/>
      </c>
      <c r="L174" s="201">
        <f t="shared" si="37"/>
      </c>
      <c r="M174" s="28">
        <f t="shared" si="33"/>
        <v>1</v>
      </c>
      <c r="N174" s="22">
        <f>'random numbers'!B186</f>
        <v>0.4452265501022339</v>
      </c>
      <c r="O174" s="36">
        <f t="shared" si="34"/>
        <v>-2</v>
      </c>
      <c r="P174" s="170">
        <f t="shared" si="38"/>
      </c>
      <c r="Q174" s="23"/>
      <c r="S174" s="77">
        <f>IF(C174="","",IF($R$163="No","",IF(M174=1,C174+0.2,"")))</f>
      </c>
      <c r="T174" s="28">
        <f>IF(C174="","",IF($R$163="No","",IF(M174=1,"Core 0.5 ft. from Left Edge","")))</f>
      </c>
      <c r="U174" s="6">
        <f>IF(C174="","",IF($R$163="No","",IF(M174=1,C174+0.3,"")))</f>
      </c>
      <c r="V174" s="6">
        <f>IF(C174="","",IF($R$163="No","",IF(M174=1,"Core 0.5 ft. from Right Edge","")))</f>
      </c>
      <c r="W174" s="16"/>
    </row>
    <row r="175" spans="1:23" ht="12.75" customHeight="1" hidden="1">
      <c r="A175" s="22"/>
      <c r="B175" s="22"/>
      <c r="C175" s="77">
        <f t="shared" si="28"/>
      </c>
      <c r="D175" s="28">
        <f t="shared" si="29"/>
      </c>
      <c r="E175" s="101">
        <f t="shared" si="30"/>
      </c>
      <c r="F175" s="28" t="str">
        <f>L102</f>
        <v>J</v>
      </c>
      <c r="G175" s="22">
        <f>'random numbers'!$B107</f>
        <v>0.056527674198150635</v>
      </c>
      <c r="H175" s="28">
        <f t="shared" si="31"/>
        <v>0</v>
      </c>
      <c r="I175" s="102">
        <f t="shared" si="32"/>
      </c>
      <c r="J175" s="200">
        <f t="shared" si="35"/>
      </c>
      <c r="K175" s="200">
        <f t="shared" si="36"/>
      </c>
      <c r="L175" s="201">
        <f t="shared" si="37"/>
      </c>
      <c r="M175" s="28">
        <f t="shared" si="33"/>
        <v>1</v>
      </c>
      <c r="N175" s="22">
        <f>'random numbers'!B187</f>
        <v>0.8306832909584045</v>
      </c>
      <c r="O175" s="36">
        <f t="shared" si="34"/>
        <v>2</v>
      </c>
      <c r="P175" s="170">
        <f t="shared" si="38"/>
      </c>
      <c r="Q175" s="23"/>
      <c r="S175" s="77">
        <f>IF(C174="","",IF($R$163="No","",IF(M175=1,C175+0.1,"")))</f>
      </c>
      <c r="T175" s="28">
        <f>IF(C174="","",IF($R$163="No","",IF(M175=1,"Core 0.5 ft. from Left Edge","")))</f>
      </c>
      <c r="U175" s="6">
        <f>IF(C174="","",IF($R$163="No","",IF(M175=1,C175+0.2,"")))</f>
      </c>
      <c r="V175" s="6">
        <f>IF(C174="","",IF($R$163="No","",IF(M175=1,"Core 0.5 ft. from Right Edge","")))</f>
      </c>
      <c r="W175" s="16"/>
    </row>
    <row r="176" spans="1:23" ht="12.75" customHeight="1" hidden="1">
      <c r="A176" s="22"/>
      <c r="B176" s="22"/>
      <c r="C176" s="77">
        <f t="shared" si="28"/>
      </c>
      <c r="D176" s="28" t="str">
        <f t="shared" si="29"/>
        <v>Y</v>
      </c>
      <c r="E176" s="101">
        <f t="shared" si="30"/>
      </c>
      <c r="F176" s="28" t="str">
        <f>M102</f>
        <v>J</v>
      </c>
      <c r="G176" s="22">
        <f>'random numbers'!$B108</f>
        <v>0.8353419303894043</v>
      </c>
      <c r="H176" s="28">
        <f t="shared" si="31"/>
        <v>0</v>
      </c>
      <c r="I176" s="102">
        <f t="shared" si="32"/>
      </c>
      <c r="J176" s="200">
        <f t="shared" si="35"/>
      </c>
      <c r="K176" s="200">
        <f t="shared" si="36"/>
      </c>
      <c r="L176" s="201">
        <f t="shared" si="37"/>
      </c>
      <c r="M176" s="28">
        <f t="shared" si="33"/>
        <v>1</v>
      </c>
      <c r="N176" s="22">
        <f>'random numbers'!B188</f>
        <v>0.8263516426086426</v>
      </c>
      <c r="O176" s="36">
        <f t="shared" si="34"/>
        <v>2</v>
      </c>
      <c r="P176" s="170">
        <f t="shared" si="38"/>
      </c>
      <c r="Q176" s="23"/>
      <c r="S176" s="77">
        <f>IF(C176="","",IF($R$163="No","",IF(M176=1,C176+0.2,"")))</f>
      </c>
      <c r="T176" s="28">
        <f>IF(C176="","",IF($R$163="No","",IF(M176=1,"Core 0.5 ft. from Left Edge","")))</f>
      </c>
      <c r="U176" s="6">
        <f>IF(C176="","",IF($R$163="No","",IF(M176=1,C176+0.3,"")))</f>
      </c>
      <c r="V176" s="6">
        <f>IF(C176="","",IF($R$163="No","",IF(M176=1,"Core 0.5 ft. from Right Edge","")))</f>
      </c>
      <c r="W176" s="16"/>
    </row>
    <row r="177" spans="1:23" ht="12.75" customHeight="1" hidden="1">
      <c r="A177" s="22"/>
      <c r="B177" s="22"/>
      <c r="C177" s="77">
        <f t="shared" si="28"/>
      </c>
      <c r="D177" s="28">
        <f t="shared" si="29"/>
      </c>
      <c r="E177" s="101">
        <f t="shared" si="30"/>
      </c>
      <c r="F177" s="28" t="str">
        <f>N102</f>
        <v>J</v>
      </c>
      <c r="G177" s="22">
        <f>'random numbers'!$B109</f>
        <v>0.9841896891593933</v>
      </c>
      <c r="H177" s="28">
        <f t="shared" si="31"/>
        <v>0</v>
      </c>
      <c r="I177" s="102">
        <f t="shared" si="32"/>
      </c>
      <c r="J177" s="200">
        <f t="shared" si="35"/>
      </c>
      <c r="K177" s="200">
        <f t="shared" si="36"/>
      </c>
      <c r="L177" s="201">
        <f t="shared" si="37"/>
      </c>
      <c r="M177" s="28">
        <f t="shared" si="33"/>
        <v>1</v>
      </c>
      <c r="N177" s="22">
        <f>'random numbers'!B189</f>
        <v>0.07073086500167847</v>
      </c>
      <c r="O177" s="36">
        <f t="shared" si="34"/>
        <v>-2</v>
      </c>
      <c r="P177" s="170">
        <f t="shared" si="38"/>
      </c>
      <c r="Q177" s="23"/>
      <c r="S177" s="77">
        <f>IF(C176="","",IF($R$163="No","",IF(M177=1,C177+0.1,"")))</f>
      </c>
      <c r="T177" s="28">
        <f>IF(C176="","",IF($R$163="No","",IF(M177=1,"Core 0.5 ft. from Left Edge","")))</f>
      </c>
      <c r="U177" s="6">
        <f>IF(C176="","",IF($R$163="No","",IF(M177=1,C177+0.2,"")))</f>
      </c>
      <c r="V177" s="6">
        <f>IF(C176="","",IF($R$163="No","",IF(M177=1,"Core 0.5 ft. from Right Edge","")))</f>
      </c>
      <c r="W177" s="16"/>
    </row>
    <row r="178" spans="1:23" ht="12.75" customHeight="1" hidden="1">
      <c r="A178" s="22"/>
      <c r="B178" s="22"/>
      <c r="C178" s="77">
        <f t="shared" si="28"/>
      </c>
      <c r="D178" s="28">
        <f t="shared" si="29"/>
      </c>
      <c r="E178" s="101">
        <f t="shared" si="30"/>
      </c>
      <c r="F178" s="28" t="str">
        <f>O102</f>
        <v>J</v>
      </c>
      <c r="G178" s="22">
        <f>'random numbers'!$B110</f>
        <v>0.01927483081817627</v>
      </c>
      <c r="H178" s="28">
        <f t="shared" si="31"/>
        <v>0</v>
      </c>
      <c r="I178" s="102">
        <f t="shared" si="32"/>
      </c>
      <c r="J178" s="200">
        <f t="shared" si="35"/>
      </c>
      <c r="K178" s="200">
        <f t="shared" si="36"/>
      </c>
      <c r="L178" s="201">
        <f t="shared" si="37"/>
      </c>
      <c r="M178" s="28">
        <f t="shared" si="33"/>
        <v>1</v>
      </c>
      <c r="N178" s="22">
        <f>'random numbers'!B190</f>
        <v>0.5809403657913208</v>
      </c>
      <c r="O178" s="36">
        <f t="shared" si="34"/>
        <v>2</v>
      </c>
      <c r="P178" s="170">
        <f t="shared" si="38"/>
      </c>
      <c r="Q178" s="23"/>
      <c r="S178" s="77">
        <f>IF(C178="","",IF($R$163="No","",IF(M178=1,C178+0.2,"")))</f>
      </c>
      <c r="T178" s="28">
        <f>IF(C178="","",IF($R$163="No","",IF(M178=1,"Core 0.5 ft. from Left Edge","")))</f>
      </c>
      <c r="U178" s="6">
        <f>IF(C178="","",IF($R$163="No","",IF(M178=1,C178+0.3,"")))</f>
      </c>
      <c r="V178" s="6">
        <f>IF(C178="","",IF($R$163="No","",IF(M178=1,"Core 0.5 ft. from Right Edge","")))</f>
      </c>
      <c r="W178" s="16"/>
    </row>
    <row r="179" spans="1:23" ht="12.75" customHeight="1" hidden="1" thickBot="1">
      <c r="A179" s="22"/>
      <c r="B179" s="22"/>
      <c r="C179" s="77">
        <f t="shared" si="28"/>
      </c>
      <c r="D179" s="28" t="str">
        <f t="shared" si="29"/>
        <v>Y</v>
      </c>
      <c r="E179" s="101">
        <f t="shared" si="30"/>
      </c>
      <c r="F179" s="28" t="str">
        <f>P102</f>
        <v>J</v>
      </c>
      <c r="G179" s="22">
        <f>'random numbers'!$B111</f>
        <v>0.6566341519355774</v>
      </c>
      <c r="H179" s="28">
        <f t="shared" si="31"/>
        <v>0</v>
      </c>
      <c r="I179" s="102">
        <f t="shared" si="32"/>
      </c>
      <c r="J179" s="200">
        <f t="shared" si="35"/>
      </c>
      <c r="K179" s="200">
        <f t="shared" si="36"/>
      </c>
      <c r="L179" s="201">
        <f t="shared" si="37"/>
      </c>
      <c r="M179" s="28">
        <f t="shared" si="33"/>
        <v>1</v>
      </c>
      <c r="N179" s="22">
        <f>'random numbers'!B191</f>
        <v>0.5077703595161438</v>
      </c>
      <c r="O179" s="36">
        <f t="shared" si="34"/>
        <v>2</v>
      </c>
      <c r="P179" s="170">
        <f t="shared" si="38"/>
      </c>
      <c r="Q179" s="23"/>
      <c r="S179" s="86">
        <f>IF(C178="","",IF($R$163="No","",IF(M179=1,C179+0.1,"")))</f>
      </c>
      <c r="T179" s="64">
        <f>IF(C178="","",IF($R$163="No","",IF(M179=1,"Core 0.5 ft. from Left Edge","")))</f>
      </c>
      <c r="U179" s="19">
        <f>IF(C178="","",IF($R$163="No","",IF(M179=1,C179+0.2,"")))</f>
      </c>
      <c r="V179" s="19">
        <f>IF(C178="","",IF($R$163="No","",IF(M179=1,"Core 0.5 ft. from Right Edge","")))</f>
      </c>
      <c r="W179" s="20"/>
    </row>
    <row r="180" spans="1:16" ht="12.75" customHeight="1" hidden="1" thickBot="1">
      <c r="A180" s="22"/>
      <c r="B180" s="22"/>
      <c r="C180" s="62"/>
      <c r="D180" s="63"/>
      <c r="E180" s="63"/>
      <c r="F180" s="63"/>
      <c r="G180" s="63"/>
      <c r="H180" s="63"/>
      <c r="I180" s="63"/>
      <c r="J180" s="18"/>
      <c r="K180" s="63"/>
      <c r="L180" s="63"/>
      <c r="M180" s="65"/>
      <c r="N180" s="66"/>
      <c r="O180" s="63"/>
      <c r="P180" s="67"/>
    </row>
    <row r="181" spans="1:17" ht="12.75" customHeight="1" hidden="1">
      <c r="A181" s="22"/>
      <c r="B181" s="22"/>
      <c r="C181" s="22"/>
      <c r="D181" s="22"/>
      <c r="E181" s="22"/>
      <c r="F181" s="23"/>
      <c r="G181" s="23"/>
      <c r="H181" s="23"/>
      <c r="I181" s="23"/>
      <c r="K181" s="23"/>
      <c r="L181" s="23"/>
      <c r="M181" s="36"/>
      <c r="N181" s="42"/>
      <c r="O181" s="23"/>
      <c r="P181" s="23"/>
      <c r="Q181" s="4"/>
    </row>
    <row r="182" spans="1:17" ht="12.75" customHeight="1" hidden="1">
      <c r="A182" s="22"/>
      <c r="B182" s="22"/>
      <c r="C182" s="22"/>
      <c r="D182" s="22"/>
      <c r="E182" s="22"/>
      <c r="F182" s="23"/>
      <c r="G182" s="23"/>
      <c r="H182" s="23"/>
      <c r="I182" s="23"/>
      <c r="J182" s="23"/>
      <c r="K182" s="23"/>
      <c r="L182" s="36"/>
      <c r="M182" s="42"/>
      <c r="N182" s="23"/>
      <c r="O182" s="23"/>
      <c r="P182" s="23"/>
      <c r="Q182" s="4"/>
    </row>
    <row r="183" spans="1:17" ht="12.75" customHeight="1" hidden="1">
      <c r="A183" s="22"/>
      <c r="B183" s="22"/>
      <c r="C183" s="22"/>
      <c r="D183" s="22"/>
      <c r="E183" s="22"/>
      <c r="F183" s="23"/>
      <c r="G183" s="23"/>
      <c r="H183" s="23"/>
      <c r="I183" s="23"/>
      <c r="J183" s="23"/>
      <c r="K183" s="23"/>
      <c r="L183" s="36"/>
      <c r="M183" s="42"/>
      <c r="N183" s="23"/>
      <c r="O183" s="23"/>
      <c r="P183" s="23"/>
      <c r="Q183" s="4"/>
    </row>
    <row r="184" spans="1:17" ht="12.75" customHeight="1" hidden="1">
      <c r="A184" s="22"/>
      <c r="B184" s="22"/>
      <c r="C184" s="22"/>
      <c r="D184" s="22"/>
      <c r="E184" s="22"/>
      <c r="F184" s="23"/>
      <c r="G184" s="23"/>
      <c r="H184" s="23"/>
      <c r="I184" s="23"/>
      <c r="J184" s="23"/>
      <c r="K184" s="23"/>
      <c r="L184" s="36"/>
      <c r="M184" s="42"/>
      <c r="N184" s="23"/>
      <c r="O184" s="23"/>
      <c r="P184" s="23"/>
      <c r="Q184" s="4"/>
    </row>
    <row r="185" spans="1:17" ht="12.75" customHeight="1" hidden="1">
      <c r="A185" s="22"/>
      <c r="B185" s="22"/>
      <c r="C185" s="22"/>
      <c r="D185" s="22"/>
      <c r="E185" s="22"/>
      <c r="F185" s="23"/>
      <c r="G185" s="23"/>
      <c r="H185" s="23"/>
      <c r="I185" s="23"/>
      <c r="J185" s="23"/>
      <c r="K185" s="23"/>
      <c r="L185" s="36"/>
      <c r="M185" s="42"/>
      <c r="N185" s="23"/>
      <c r="O185" s="23"/>
      <c r="P185" s="23"/>
      <c r="Q185" s="4"/>
    </row>
    <row r="186" spans="1:17" ht="12.75" customHeight="1" hidden="1">
      <c r="A186" s="22"/>
      <c r="B186" s="22"/>
      <c r="C186" s="22"/>
      <c r="D186" s="22"/>
      <c r="E186" s="22"/>
      <c r="F186" s="23"/>
      <c r="G186" s="23"/>
      <c r="H186" s="23"/>
      <c r="I186" s="23"/>
      <c r="J186" s="23"/>
      <c r="K186" s="23"/>
      <c r="L186" s="36"/>
      <c r="M186" s="42"/>
      <c r="N186" s="23"/>
      <c r="O186" s="23"/>
      <c r="P186" s="23"/>
      <c r="Q186" s="4"/>
    </row>
    <row r="187" spans="1:16" ht="12.75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</row>
    <row r="188" spans="1:15" ht="12.75">
      <c r="A188" s="23"/>
      <c r="B188" s="23"/>
      <c r="C188" s="142" t="s">
        <v>234</v>
      </c>
      <c r="D188" s="143"/>
      <c r="E188" s="143"/>
      <c r="F188" s="23"/>
      <c r="G188" s="23"/>
      <c r="H188" s="23"/>
      <c r="I188" s="23"/>
      <c r="J188" s="23"/>
      <c r="K188" s="23"/>
      <c r="L188" s="23"/>
      <c r="M188" s="23"/>
      <c r="N188" s="23"/>
      <c r="O188" s="23"/>
    </row>
  </sheetData>
  <sheetProtection password="D8EC" sheet="1" objects="1" scenarios="1"/>
  <mergeCells count="41">
    <mergeCell ref="I12:J12"/>
    <mergeCell ref="I13:J13"/>
    <mergeCell ref="I14:J14"/>
    <mergeCell ref="F1:L1"/>
    <mergeCell ref="F2:L2"/>
    <mergeCell ref="I9:K9"/>
    <mergeCell ref="M5:N5"/>
    <mergeCell ref="J5:K5"/>
    <mergeCell ref="H6:I6"/>
    <mergeCell ref="B34:B35"/>
    <mergeCell ref="H5:I5"/>
    <mergeCell ref="I15:J15"/>
    <mergeCell ref="J6:L6"/>
    <mergeCell ref="L20:M20"/>
    <mergeCell ref="L18:M18"/>
    <mergeCell ref="L17:M17"/>
    <mergeCell ref="B36:B37"/>
    <mergeCell ref="C41:D41"/>
    <mergeCell ref="C42:D42"/>
    <mergeCell ref="B26:B27"/>
    <mergeCell ref="B28:B29"/>
    <mergeCell ref="B30:B31"/>
    <mergeCell ref="B32:B33"/>
    <mergeCell ref="C47:D47"/>
    <mergeCell ref="J47:K48"/>
    <mergeCell ref="C43:D43"/>
    <mergeCell ref="C44:D44"/>
    <mergeCell ref="C45:D45"/>
    <mergeCell ref="C46:D46"/>
    <mergeCell ref="G43:L43"/>
    <mergeCell ref="G44:L44"/>
    <mergeCell ref="G41:L41"/>
    <mergeCell ref="G42:L42"/>
    <mergeCell ref="E5:G5"/>
    <mergeCell ref="E6:G6"/>
    <mergeCell ref="C40:E40"/>
    <mergeCell ref="I8:K8"/>
    <mergeCell ref="H18:I18"/>
    <mergeCell ref="H19:I19"/>
    <mergeCell ref="I11:J11"/>
    <mergeCell ref="L19:M19"/>
  </mergeCells>
  <dataValidations count="10">
    <dataValidation type="list" allowBlank="1" showInputMessage="1" showErrorMessage="1" promptTitle="Project Type" sqref="D5">
      <formula1>$W$4:$W$6</formula1>
    </dataValidation>
    <dataValidation type="list" allowBlank="1" showInputMessage="1" showErrorMessage="1" sqref="H5:I5">
      <formula1>$X$4:$X$6</formula1>
    </dataValidation>
    <dataValidation type="list" allowBlank="1" showInputMessage="1" showErrorMessage="1" sqref="L8">
      <formula1>$Y$4:$Y$5</formula1>
    </dataValidation>
    <dataValidation type="list" allowBlank="1" showInputMessage="1" showErrorMessage="1" sqref="J19">
      <formula1>$AE$4:$AE$6</formula1>
    </dataValidation>
    <dataValidation type="list" allowBlank="1" showInputMessage="1" showErrorMessage="1" sqref="T160 P40:P81 P93:P97 P182:P186">
      <formula1>#REF!</formula1>
    </dataValidation>
    <dataValidation type="list" allowBlank="1" showInputMessage="1" showErrorMessage="1" sqref="P15:P18">
      <formula1>#REF!</formula1>
    </dataValidation>
    <dataValidation type="list" allowBlank="1" showErrorMessage="1" sqref="N18">
      <formula1>$AG$5:$AG$52</formula1>
    </dataValidation>
    <dataValidation type="list" allowBlank="1" showInputMessage="1" showErrorMessage="1" sqref="N19">
      <formula1>$AH$5:$AH$11</formula1>
    </dataValidation>
    <dataValidation type="list" allowBlank="1" showInputMessage="1" showErrorMessage="1" sqref="L9">
      <formula1>$AL$5:$AL$6</formula1>
    </dataValidation>
    <dataValidation type="list" allowBlank="1" showErrorMessage="1" promptTitle="Type of Joint?" prompt="Input type of edge joint." sqref="I26:I37">
      <formula1>$AF$5:$AF$7</formula1>
    </dataValidation>
  </dataValidations>
  <printOptions horizontalCentered="1" verticalCentered="1"/>
  <pageMargins left="0.17" right="0.17" top="0.25" bottom="0.25" header="0" footer="0"/>
  <pageSetup blackAndWhite="1" fitToHeight="1" fitToWidth="1" horizontalDpi="300" verticalDpi="300" orientation="landscape" scale="65" r:id="rId2"/>
  <colBreaks count="1" manualBreakCount="1">
    <brk id="16" max="65535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B220"/>
  <sheetViews>
    <sheetView workbookViewId="0" topLeftCell="A1">
      <selection activeCell="B1" sqref="B1"/>
    </sheetView>
  </sheetViews>
  <sheetFormatPr defaultColWidth="9.140625" defaultRowHeight="12.75"/>
  <cols>
    <col min="1" max="1" width="0.13671875" style="2" customWidth="1"/>
  </cols>
  <sheetData>
    <row r="1" spans="1:2" ht="12.75">
      <c r="A1" s="1">
        <v>0.9121362566947937</v>
      </c>
      <c r="B1">
        <v>0.07052415609359741</v>
      </c>
    </row>
    <row r="2" spans="1:2" ht="12.75">
      <c r="A2" s="1">
        <v>0.8455883264541626</v>
      </c>
      <c r="B2">
        <v>0.623796820640564</v>
      </c>
    </row>
    <row r="3" spans="1:2" ht="12.75">
      <c r="A3" s="1">
        <v>0.6253255009651184</v>
      </c>
      <c r="B3">
        <v>0.5024920105934143</v>
      </c>
    </row>
    <row r="4" spans="1:2" ht="12.75">
      <c r="A4" s="1">
        <v>0.5516932010650635</v>
      </c>
      <c r="B4">
        <v>0.6883668899536133</v>
      </c>
    </row>
    <row r="5" spans="1:2" ht="12.75">
      <c r="A5" s="1">
        <v>0.6939615607261658</v>
      </c>
      <c r="B5">
        <v>0.35236090421676636</v>
      </c>
    </row>
    <row r="6" spans="1:2" ht="12.75">
      <c r="A6" s="1">
        <v>0.7983149290084839</v>
      </c>
      <c r="B6">
        <v>0.6330229043960571</v>
      </c>
    </row>
    <row r="7" spans="1:2" ht="12.75">
      <c r="A7" s="1">
        <v>0.33092743158340454</v>
      </c>
      <c r="B7">
        <v>0.16060477495193481</v>
      </c>
    </row>
    <row r="8" spans="1:2" ht="12.75">
      <c r="A8" s="1">
        <v>0.5298275947570801</v>
      </c>
      <c r="B8">
        <v>0.9066555500030518</v>
      </c>
    </row>
    <row r="9" spans="1:2" ht="12.75">
      <c r="A9" s="1">
        <v>0.5266024470329285</v>
      </c>
      <c r="B9">
        <v>0.3696140646934509</v>
      </c>
    </row>
    <row r="10" spans="1:2" ht="12.75">
      <c r="A10" s="1">
        <v>0.8018571138381958</v>
      </c>
      <c r="B10">
        <v>0.8149060010910034</v>
      </c>
    </row>
    <row r="11" spans="1:2" ht="12.75">
      <c r="A11" s="1">
        <v>0.8217657208442688</v>
      </c>
      <c r="B11">
        <v>0.16402775049209595</v>
      </c>
    </row>
    <row r="12" spans="1:2" ht="12.75">
      <c r="A12" s="1">
        <v>0.5587775707244873</v>
      </c>
      <c r="B12">
        <v>0.49916982650756836</v>
      </c>
    </row>
    <row r="13" spans="1:2" ht="12.75">
      <c r="A13" s="1">
        <v>0.6133212447166443</v>
      </c>
      <c r="B13">
        <v>0.03372162580490112</v>
      </c>
    </row>
    <row r="14" spans="1:2" ht="12.75">
      <c r="A14" s="1">
        <v>0.11886441707611084</v>
      </c>
      <c r="B14">
        <v>0.7476321458816528</v>
      </c>
    </row>
    <row r="15" spans="1:2" ht="12.75">
      <c r="A15" s="1">
        <v>0.8916483521461487</v>
      </c>
      <c r="B15">
        <v>0.8407028317451477</v>
      </c>
    </row>
    <row r="16" spans="1:2" ht="12.75">
      <c r="A16" s="1">
        <v>0.16677188873291016</v>
      </c>
      <c r="B16">
        <v>0.2945840358734131</v>
      </c>
    </row>
    <row r="17" spans="1:2" ht="12.75">
      <c r="A17" s="1">
        <v>0.07582205533981323</v>
      </c>
      <c r="B17">
        <v>0.42116063833236694</v>
      </c>
    </row>
    <row r="18" spans="1:2" ht="12.75">
      <c r="A18" s="1">
        <v>0.942146897315979</v>
      </c>
      <c r="B18">
        <v>0.5142701864242554</v>
      </c>
    </row>
    <row r="19" spans="1:2" ht="12.75">
      <c r="A19" s="1">
        <v>0.7496970295906067</v>
      </c>
      <c r="B19">
        <v>0.003923475742340088</v>
      </c>
    </row>
    <row r="20" spans="1:2" ht="12.75">
      <c r="A20" s="1">
        <v>0.09409070014953613</v>
      </c>
      <c r="B20">
        <v>0.6655178070068359</v>
      </c>
    </row>
    <row r="21" spans="1:2" ht="12.75">
      <c r="A21" s="1">
        <v>0.5920681357383728</v>
      </c>
      <c r="B21">
        <v>0.9765722155570984</v>
      </c>
    </row>
    <row r="22" spans="1:2" ht="12.75">
      <c r="A22" s="1">
        <v>0.8948734998703003</v>
      </c>
      <c r="B22">
        <v>0.09339678287506104</v>
      </c>
    </row>
    <row r="23" spans="1:2" ht="12.75">
      <c r="A23" s="1">
        <v>0.9241405129432678</v>
      </c>
      <c r="B23">
        <v>0.7804597020149231</v>
      </c>
    </row>
    <row r="24" spans="1:2" ht="12.75">
      <c r="A24" s="1">
        <v>0.33780431747436523</v>
      </c>
      <c r="B24">
        <v>0.044161081314086914</v>
      </c>
    </row>
    <row r="25" spans="1:2" ht="12.75">
      <c r="A25" s="1">
        <v>0.690288245677948</v>
      </c>
      <c r="B25">
        <v>0.9658865332603455</v>
      </c>
    </row>
    <row r="26" spans="1:2" ht="12.75">
      <c r="A26" s="1">
        <v>0.8984156847000122</v>
      </c>
      <c r="B26">
        <v>0.9997214078903198</v>
      </c>
    </row>
    <row r="27" spans="1:2" ht="12.75">
      <c r="A27" s="1">
        <v>0.6182411313056946</v>
      </c>
      <c r="B27">
        <v>0.6886830925941467</v>
      </c>
    </row>
    <row r="28" spans="1:2" ht="12.75">
      <c r="A28" s="1">
        <v>0.36675429344177246</v>
      </c>
      <c r="B28">
        <v>0.687899112701416</v>
      </c>
    </row>
    <row r="29" spans="1:2" ht="12.75">
      <c r="A29" s="1">
        <v>0.8393239378929138</v>
      </c>
      <c r="B29">
        <v>0.17944782972335815</v>
      </c>
    </row>
    <row r="30" spans="1:2" ht="12.75">
      <c r="A30" s="1">
        <v>0.48393189907073975</v>
      </c>
      <c r="B30">
        <v>0.17471134662628174</v>
      </c>
    </row>
    <row r="31" spans="1:2" ht="12.75">
      <c r="A31" s="1">
        <v>0.42840391397476196</v>
      </c>
      <c r="B31">
        <v>0.966691792011261</v>
      </c>
    </row>
    <row r="32" spans="1:2" ht="12.75">
      <c r="A32" s="1">
        <v>0.9806079864501953</v>
      </c>
      <c r="B32">
        <v>0.6949374675750732</v>
      </c>
    </row>
    <row r="33" spans="1:2" ht="12.75">
      <c r="A33" s="1">
        <v>0.5732633471488953</v>
      </c>
      <c r="B33">
        <v>0.8851394057273865</v>
      </c>
    </row>
    <row r="34" spans="1:2" ht="12.75">
      <c r="A34" s="1">
        <v>0.8739258050918579</v>
      </c>
      <c r="B34">
        <v>0.12721669673919678</v>
      </c>
    </row>
    <row r="35" spans="1:2" ht="12.75">
      <c r="A35" s="1">
        <v>0.28645259141921997</v>
      </c>
      <c r="B35">
        <v>0.15043550729751587</v>
      </c>
    </row>
    <row r="36" spans="1:2" ht="12.75">
      <c r="A36" s="1">
        <v>0.8456099033355713</v>
      </c>
      <c r="B36">
        <v>0.2699270248413086</v>
      </c>
    </row>
    <row r="37" spans="1:2" ht="12.75">
      <c r="A37" s="1">
        <v>0.35508865118026733</v>
      </c>
      <c r="B37">
        <v>0.03150862455368042</v>
      </c>
    </row>
    <row r="38" spans="1:2" ht="12.75">
      <c r="A38" s="1">
        <v>0.8266524076461792</v>
      </c>
      <c r="B38">
        <v>0.32409536838531494</v>
      </c>
    </row>
    <row r="39" spans="1:2" ht="12.75">
      <c r="A39" s="1">
        <v>0.7264752984046936</v>
      </c>
      <c r="B39">
        <v>0.9018405079841614</v>
      </c>
    </row>
    <row r="40" spans="1:2" ht="12.75">
      <c r="A40" s="1">
        <v>0.5581650733947754</v>
      </c>
      <c r="B40">
        <v>0.23958897590637207</v>
      </c>
    </row>
    <row r="41" spans="1:2" ht="12.75">
      <c r="A41" s="1">
        <v>0.18772953748703003</v>
      </c>
      <c r="B41">
        <v>0.70089191198349</v>
      </c>
    </row>
    <row r="42" spans="1:2" ht="12.75">
      <c r="A42" s="1">
        <v>0.5483037233352661</v>
      </c>
      <c r="B42">
        <v>0.8308380842208862</v>
      </c>
    </row>
    <row r="43" spans="1:2" ht="12.75">
      <c r="A43" s="1">
        <v>0.21731358766555786</v>
      </c>
      <c r="B43">
        <v>0.08693462610244751</v>
      </c>
    </row>
    <row r="44" spans="1:2" ht="12.75">
      <c r="A44" s="1">
        <v>0.8526942729949951</v>
      </c>
      <c r="B44">
        <v>0.8183398246765137</v>
      </c>
    </row>
    <row r="45" spans="1:2" ht="12.75">
      <c r="A45" s="1">
        <v>0.27444833517074585</v>
      </c>
      <c r="B45">
        <v>0.8125397562980652</v>
      </c>
    </row>
    <row r="46" spans="1:2" ht="12.75">
      <c r="A46" s="1">
        <v>0.07150304317474365</v>
      </c>
      <c r="B46">
        <v>0.20219337940216064</v>
      </c>
    </row>
    <row r="47" spans="1:2" ht="12.75">
      <c r="A47" s="1">
        <v>0.7560377717018127</v>
      </c>
      <c r="B47">
        <v>0.10397225618362427</v>
      </c>
    </row>
    <row r="48" spans="1:2" ht="12.75">
      <c r="A48" s="1">
        <v>0.19510936737060547</v>
      </c>
      <c r="B48">
        <v>0.6239163875579834</v>
      </c>
    </row>
    <row r="49" spans="1:2" ht="12.75">
      <c r="A49" s="1">
        <v>0.7369491457939148</v>
      </c>
      <c r="B49">
        <v>0.075741708278656</v>
      </c>
    </row>
    <row r="50" spans="1:2" ht="12.75">
      <c r="A50" s="1">
        <v>0.7049051523208618</v>
      </c>
      <c r="B50">
        <v>0.6227926015853882</v>
      </c>
    </row>
    <row r="51" spans="1:2" ht="12.75">
      <c r="A51" s="1">
        <v>0.8796656727790833</v>
      </c>
      <c r="B51">
        <v>0.46155935525894165</v>
      </c>
    </row>
    <row r="52" spans="1:2" ht="12.75">
      <c r="A52" s="1">
        <v>0.12242817878723145</v>
      </c>
      <c r="B52">
        <v>0.9430007934570312</v>
      </c>
    </row>
    <row r="53" spans="1:2" ht="12.75">
      <c r="A53" s="1">
        <v>0.9876160025596619</v>
      </c>
      <c r="B53">
        <v>0.19295138120651245</v>
      </c>
    </row>
    <row r="54" spans="1:2" ht="12.75">
      <c r="A54" s="1">
        <v>0.3920525312423706</v>
      </c>
      <c r="B54">
        <v>0.29777491092681885</v>
      </c>
    </row>
    <row r="55" spans="1:2" ht="12.75">
      <c r="A55" s="1">
        <v>0.5066390633583069</v>
      </c>
      <c r="B55">
        <v>0.6067784428596497</v>
      </c>
    </row>
    <row r="56" spans="1:2" ht="12.75">
      <c r="A56" s="1">
        <v>0.756354808807373</v>
      </c>
      <c r="B56">
        <v>0.24684548377990723</v>
      </c>
    </row>
    <row r="57" spans="1:2" ht="12.75">
      <c r="A57" s="1">
        <v>0.8202568888664246</v>
      </c>
      <c r="B57">
        <v>0.3129114508628845</v>
      </c>
    </row>
    <row r="58" spans="1:2" ht="12.75">
      <c r="A58" s="1">
        <v>0.661173939704895</v>
      </c>
      <c r="B58">
        <v>0.09341228008270264</v>
      </c>
    </row>
    <row r="59" spans="1:2" ht="12.75">
      <c r="A59" s="1">
        <v>0.9974773526191711</v>
      </c>
      <c r="B59">
        <v>0.003313601016998291</v>
      </c>
    </row>
    <row r="60" spans="1:2" ht="12.75">
      <c r="A60" s="1">
        <v>0.05088400840759277</v>
      </c>
      <c r="B60">
        <v>0.9568982124328613</v>
      </c>
    </row>
    <row r="61" spans="1:2" ht="12.75">
      <c r="A61" s="1">
        <v>0.9692925810813904</v>
      </c>
      <c r="B61">
        <v>0.7337786555290222</v>
      </c>
    </row>
    <row r="62" spans="1:2" ht="12.75">
      <c r="A62" s="1">
        <v>0.9811109304428101</v>
      </c>
      <c r="B62">
        <v>0.42773449420928955</v>
      </c>
    </row>
    <row r="63" spans="1:2" ht="12.75">
      <c r="A63" s="1">
        <v>0.2735520005226135</v>
      </c>
      <c r="B63">
        <v>0.45957547426223755</v>
      </c>
    </row>
    <row r="64" spans="1:2" ht="12.75">
      <c r="A64" s="1">
        <v>0.3962287902832031</v>
      </c>
      <c r="B64">
        <v>0.46042704582214355</v>
      </c>
    </row>
    <row r="65" spans="1:2" ht="12.75">
      <c r="A65" s="1">
        <v>0.3636171221733093</v>
      </c>
      <c r="B65">
        <v>0.8562487959861755</v>
      </c>
    </row>
    <row r="66" spans="1:2" ht="12.75">
      <c r="A66" s="1">
        <v>0.015178322792053223</v>
      </c>
      <c r="B66">
        <v>0.4111541509628296</v>
      </c>
    </row>
    <row r="67" spans="1:2" ht="12.75">
      <c r="A67" s="1">
        <v>0.38839083909988403</v>
      </c>
      <c r="B67">
        <v>0.7068262696266174</v>
      </c>
    </row>
    <row r="68" spans="1:2" ht="12.75">
      <c r="A68" s="1">
        <v>0.3147585391998291</v>
      </c>
      <c r="B68">
        <v>0.3761453628540039</v>
      </c>
    </row>
    <row r="69" spans="1:2" ht="12.75">
      <c r="A69" s="1">
        <v>0.8635515570640564</v>
      </c>
      <c r="B69">
        <v>0.3866817355155945</v>
      </c>
    </row>
    <row r="70" spans="1:2" ht="12.75">
      <c r="A70" s="1">
        <v>0.9679049253463745</v>
      </c>
      <c r="B70">
        <v>0.23709166049957275</v>
      </c>
    </row>
    <row r="71" spans="1:2" ht="12.75">
      <c r="A71" s="1">
        <v>0.5628343224525452</v>
      </c>
      <c r="B71">
        <v>0.22730475664138794</v>
      </c>
    </row>
    <row r="72" spans="1:2" ht="12.75">
      <c r="A72" s="1">
        <v>0.2928929328918457</v>
      </c>
      <c r="B72">
        <v>0.06983685493469238</v>
      </c>
    </row>
    <row r="73" spans="1:2" ht="12.75">
      <c r="A73" s="1">
        <v>0.6961924433708191</v>
      </c>
      <c r="B73">
        <v>0.790226399898529</v>
      </c>
    </row>
    <row r="74" spans="1:2" ht="12.75">
      <c r="A74" s="1">
        <v>0.9714471101760864</v>
      </c>
      <c r="B74">
        <v>0.822600245475769</v>
      </c>
    </row>
    <row r="75" spans="1:2" ht="12.75">
      <c r="A75" s="1">
        <v>0.2569349408149719</v>
      </c>
      <c r="B75">
        <v>0.3323512673377991</v>
      </c>
    </row>
    <row r="76" spans="1:2" ht="12.75">
      <c r="A76" s="1">
        <v>0.9939467906951904</v>
      </c>
      <c r="B76">
        <v>0.419980525970459</v>
      </c>
    </row>
    <row r="77" spans="1:2" ht="12.75">
      <c r="A77" s="1">
        <v>0.8452281355857849</v>
      </c>
      <c r="B77">
        <v>0.9939457774162292</v>
      </c>
    </row>
    <row r="78" spans="1:2" ht="12.75">
      <c r="A78" s="1">
        <v>0.556963324546814</v>
      </c>
      <c r="B78">
        <v>0.6989909410476685</v>
      </c>
    </row>
    <row r="79" spans="1:2" ht="12.75">
      <c r="A79" s="1">
        <v>0.7985888123512268</v>
      </c>
      <c r="B79">
        <v>0.49053269624710083</v>
      </c>
    </row>
    <row r="80" spans="1:2" ht="12.75">
      <c r="A80" s="1">
        <v>0.3392915725708008</v>
      </c>
      <c r="B80">
        <v>0.8333756923675537</v>
      </c>
    </row>
    <row r="81" spans="1:2" ht="12.75">
      <c r="A81" s="1">
        <v>0.5139209628105164</v>
      </c>
      <c r="B81">
        <v>0.33994191884994507</v>
      </c>
    </row>
    <row r="82" spans="1:2" ht="12.75">
      <c r="A82" s="1">
        <v>0.9247862100601196</v>
      </c>
      <c r="B82">
        <v>0.152457594871521</v>
      </c>
    </row>
    <row r="83" spans="1:2" ht="12.75">
      <c r="A83" s="1">
        <v>0.6537078022956848</v>
      </c>
      <c r="B83">
        <v>0.9057675004005432</v>
      </c>
    </row>
    <row r="84" spans="1:2" ht="12.75">
      <c r="A84" s="1">
        <v>0.9981014728546143</v>
      </c>
      <c r="B84">
        <v>0.5107669830322266</v>
      </c>
    </row>
    <row r="85" spans="1:2" ht="12.75">
      <c r="A85" s="1">
        <v>0.027237355709075928</v>
      </c>
      <c r="B85">
        <v>0.7884809374809265</v>
      </c>
    </row>
    <row r="86" spans="1:2" ht="12.75">
      <c r="A86" s="1">
        <v>0.5333050489425659</v>
      </c>
      <c r="B86">
        <v>0.6147018671035767</v>
      </c>
    </row>
    <row r="87" spans="1:2" ht="12.75">
      <c r="A87" s="1">
        <v>0.828151285648346</v>
      </c>
      <c r="B87">
        <v>0.3454506993293762</v>
      </c>
    </row>
    <row r="88" spans="1:2" ht="12.75">
      <c r="A88" s="1">
        <v>0.24181509017944336</v>
      </c>
      <c r="B88">
        <v>0.9624693393707275</v>
      </c>
    </row>
    <row r="89" spans="1:2" ht="12.75">
      <c r="A89" s="1">
        <v>0.8598782420158386</v>
      </c>
      <c r="B89">
        <v>0.3711180090904236</v>
      </c>
    </row>
    <row r="90" spans="1:2" ht="12.75">
      <c r="A90" s="1">
        <v>0.8024264574050903</v>
      </c>
      <c r="B90">
        <v>0.30355823040008545</v>
      </c>
    </row>
    <row r="91" spans="1:2" ht="12.75">
      <c r="A91" s="1">
        <v>0.7715194821357727</v>
      </c>
      <c r="B91">
        <v>0.21857887506484985</v>
      </c>
    </row>
    <row r="92" spans="1:2" ht="12.75">
      <c r="A92" s="1">
        <v>0.2707650661468506</v>
      </c>
      <c r="B92">
        <v>0.7739930152893066</v>
      </c>
    </row>
    <row r="93" spans="1:2" ht="12.75">
      <c r="A93" s="1">
        <v>0.27449315786361694</v>
      </c>
      <c r="B93">
        <v>0.8938223719596863</v>
      </c>
    </row>
    <row r="94" spans="1:2" ht="12.75">
      <c r="A94" s="1">
        <v>0.12236344814300537</v>
      </c>
      <c r="B94">
        <v>0.11361896991729736</v>
      </c>
    </row>
    <row r="95" spans="1:2" ht="12.75">
      <c r="A95" s="1">
        <v>0.3131733536720276</v>
      </c>
      <c r="B95">
        <v>0.9038751721382141</v>
      </c>
    </row>
    <row r="96" spans="1:2" ht="12.75">
      <c r="A96" s="1">
        <v>0.6161098480224609</v>
      </c>
      <c r="B96">
        <v>0.6216685771942139</v>
      </c>
    </row>
    <row r="97" spans="1:2" ht="12.75">
      <c r="A97" s="1">
        <v>0.9431859850883484</v>
      </c>
      <c r="B97">
        <v>0.8901023268699646</v>
      </c>
    </row>
    <row r="98" spans="1:2" ht="12.75">
      <c r="A98" s="1">
        <v>0.7586952447891235</v>
      </c>
      <c r="B98">
        <v>0.7568591833114624</v>
      </c>
    </row>
    <row r="99" spans="1:2" ht="12.75">
      <c r="A99" s="1">
        <v>0.4368012547492981</v>
      </c>
      <c r="B99">
        <v>0.327914297580719</v>
      </c>
    </row>
    <row r="100" spans="1:2" ht="12.75">
      <c r="A100" s="1">
        <v>0.4840414524078369</v>
      </c>
      <c r="B100">
        <v>0.5382719039916992</v>
      </c>
    </row>
    <row r="101" spans="1:2" ht="12.75">
      <c r="A101" s="1">
        <v>0.6656240820884705</v>
      </c>
      <c r="B101">
        <v>0.8241302371025085</v>
      </c>
    </row>
    <row r="102" spans="1:2" ht="12.75">
      <c r="A102" s="1">
        <v>0.4487723112106323</v>
      </c>
      <c r="B102">
        <v>0.15326178073883057</v>
      </c>
    </row>
    <row r="103" spans="1:2" ht="12.75">
      <c r="A103" s="1">
        <v>0.8797536492347717</v>
      </c>
      <c r="B103">
        <v>0.7932475209236145</v>
      </c>
    </row>
    <row r="104" spans="1:2" ht="12.75">
      <c r="A104" s="1">
        <v>0.4621758460998535</v>
      </c>
      <c r="B104">
        <v>0.4286491870880127</v>
      </c>
    </row>
    <row r="105" spans="1:2" ht="12.75">
      <c r="A105" s="1">
        <v>0.49826496839523315</v>
      </c>
      <c r="B105">
        <v>0.5438675284385681</v>
      </c>
    </row>
    <row r="106" spans="1:2" ht="12.75">
      <c r="A106" s="1">
        <v>0.45231449604034424</v>
      </c>
      <c r="B106">
        <v>0.07144248485565186</v>
      </c>
    </row>
    <row r="107" spans="1:2" ht="12.75">
      <c r="A107" s="1">
        <v>0.370591938495636</v>
      </c>
      <c r="B107">
        <v>0.056527674198150635</v>
      </c>
    </row>
    <row r="108" spans="1:2" ht="12.75">
      <c r="A108" s="1">
        <v>0.47481417655944824</v>
      </c>
      <c r="B108">
        <v>0.8353419303894043</v>
      </c>
    </row>
    <row r="109" spans="1:2" ht="12.75">
      <c r="A109" s="1">
        <v>0.647300660610199</v>
      </c>
      <c r="B109">
        <v>0.9841896891593933</v>
      </c>
    </row>
    <row r="110" spans="1:2" ht="12.75">
      <c r="A110" s="1">
        <v>0.9755138158798218</v>
      </c>
      <c r="B110">
        <v>0.01927483081817627</v>
      </c>
    </row>
    <row r="111" ht="12.75">
      <c r="B111">
        <v>0.6566341519355774</v>
      </c>
    </row>
    <row r="112" ht="12.75">
      <c r="B112">
        <v>0.954211950302124</v>
      </c>
    </row>
    <row r="113" ht="12.75">
      <c r="B113">
        <v>0.12001127004623413</v>
      </c>
    </row>
    <row r="114" ht="12.75">
      <c r="B114">
        <v>0.3845151662826538</v>
      </c>
    </row>
    <row r="115" ht="12.75">
      <c r="B115">
        <v>0.4927979111671448</v>
      </c>
    </row>
    <row r="116" ht="12.75">
      <c r="B116">
        <v>0.9000663757324219</v>
      </c>
    </row>
    <row r="117" ht="12.75">
      <c r="B117">
        <v>0.16941088438034058</v>
      </c>
    </row>
    <row r="118" ht="12.75">
      <c r="B118">
        <v>0.8254276514053345</v>
      </c>
    </row>
    <row r="119" ht="12.75">
      <c r="B119">
        <v>0.6527264714241028</v>
      </c>
    </row>
    <row r="120" ht="12.75">
      <c r="B120">
        <v>0.22228264808654785</v>
      </c>
    </row>
    <row r="121" ht="12.75">
      <c r="B121">
        <v>0.046756207942962646</v>
      </c>
    </row>
    <row r="122" ht="12.75">
      <c r="B122">
        <v>0.9114092588424683</v>
      </c>
    </row>
    <row r="123" ht="12.75">
      <c r="B123">
        <v>0.4907289147377014</v>
      </c>
    </row>
    <row r="124" ht="12.75">
      <c r="B124">
        <v>0.670433521270752</v>
      </c>
    </row>
    <row r="125" ht="12.75">
      <c r="B125">
        <v>0.06582897901535034</v>
      </c>
    </row>
    <row r="126" ht="12.75">
      <c r="B126">
        <v>0.013614773750305176</v>
      </c>
    </row>
    <row r="127" ht="12.75">
      <c r="B127">
        <v>0.9558408856391907</v>
      </c>
    </row>
    <row r="128" ht="12.75">
      <c r="B128">
        <v>0.20991206169128418</v>
      </c>
    </row>
    <row r="129" ht="12.75">
      <c r="B129">
        <v>0.8929499983787537</v>
      </c>
    </row>
    <row r="130" ht="12.75">
      <c r="B130">
        <v>0.4455817937850952</v>
      </c>
    </row>
    <row r="131" ht="12.75">
      <c r="B131">
        <v>0.16994959115982056</v>
      </c>
    </row>
    <row r="132" ht="12.75">
      <c r="B132">
        <v>0.28755664825439453</v>
      </c>
    </row>
    <row r="133" ht="12.75">
      <c r="B133">
        <v>0.7501041293144226</v>
      </c>
    </row>
    <row r="134" ht="12.75">
      <c r="B134">
        <v>0.8538557291030884</v>
      </c>
    </row>
    <row r="135" ht="12.75">
      <c r="B135">
        <v>0.25591880083084106</v>
      </c>
    </row>
    <row r="136" ht="12.75">
      <c r="B136">
        <v>0.347275972366333</v>
      </c>
    </row>
    <row r="137" ht="12.75">
      <c r="B137">
        <v>0.8680652976036072</v>
      </c>
    </row>
    <row r="138" ht="12.75">
      <c r="B138">
        <v>0.8586148023605347</v>
      </c>
    </row>
    <row r="139" ht="12.75">
      <c r="B139">
        <v>0.4157138466835022</v>
      </c>
    </row>
    <row r="140" ht="12.75">
      <c r="B140">
        <v>0.5956740379333496</v>
      </c>
    </row>
    <row r="141" ht="12.75">
      <c r="B141">
        <v>0.18952149152755737</v>
      </c>
    </row>
    <row r="142" ht="12.75">
      <c r="B142">
        <v>0.9442950487136841</v>
      </c>
    </row>
    <row r="143" ht="12.75">
      <c r="B143">
        <v>0.25852662324905396</v>
      </c>
    </row>
    <row r="144" ht="12.75">
      <c r="B144">
        <v>0.017675161361694336</v>
      </c>
    </row>
    <row r="145" ht="12.75">
      <c r="B145">
        <v>0.3221997618675232</v>
      </c>
    </row>
    <row r="146" ht="12.75">
      <c r="B146">
        <v>0.6002153158187866</v>
      </c>
    </row>
    <row r="147" ht="12.75">
      <c r="B147">
        <v>0.37890058755874634</v>
      </c>
    </row>
    <row r="148" ht="12.75">
      <c r="B148">
        <v>0.6421489715576172</v>
      </c>
    </row>
    <row r="149" ht="12.75">
      <c r="B149">
        <v>0.7419912219047546</v>
      </c>
    </row>
    <row r="150" ht="12.75">
      <c r="B150">
        <v>0.7112022638320923</v>
      </c>
    </row>
    <row r="151" ht="12.75">
      <c r="B151">
        <v>0.18485575914382935</v>
      </c>
    </row>
    <row r="152" ht="12.75">
      <c r="B152">
        <v>0.057535409927368164</v>
      </c>
    </row>
    <row r="153" ht="12.75">
      <c r="B153">
        <v>0.2460760474205017</v>
      </c>
    </row>
    <row r="154" ht="12.75">
      <c r="B154">
        <v>0.19821536540985107</v>
      </c>
    </row>
    <row r="155" ht="12.75">
      <c r="B155">
        <v>0.976013720035553</v>
      </c>
    </row>
    <row r="156" ht="12.75">
      <c r="B156">
        <v>0.17746973037719727</v>
      </c>
    </row>
    <row r="157" ht="12.75">
      <c r="B157">
        <v>0.6560484766960144</v>
      </c>
    </row>
    <row r="158" ht="12.75">
      <c r="B158">
        <v>0.908971905708313</v>
      </c>
    </row>
    <row r="159" ht="12.75">
      <c r="B159">
        <v>0.27172261476516724</v>
      </c>
    </row>
    <row r="160" ht="12.75">
      <c r="B160">
        <v>0.2564074993133545</v>
      </c>
    </row>
    <row r="161" ht="12.75">
      <c r="B161">
        <v>0.7710418105125427</v>
      </c>
    </row>
    <row r="162" ht="12.75">
      <c r="B162">
        <v>0.758571982383728</v>
      </c>
    </row>
    <row r="163" ht="12.75">
      <c r="B163">
        <v>0.3891821503639221</v>
      </c>
    </row>
    <row r="164" ht="12.75">
      <c r="B164">
        <v>0.15524959564208984</v>
      </c>
    </row>
    <row r="165" ht="12.75">
      <c r="B165">
        <v>0.5708534121513367</v>
      </c>
    </row>
    <row r="166" ht="12.75">
      <c r="B166">
        <v>0.12012350559234619</v>
      </c>
    </row>
    <row r="167" ht="12.75">
      <c r="B167">
        <v>0.2715685963630676</v>
      </c>
    </row>
    <row r="168" ht="12.75">
      <c r="B168">
        <v>0.8569672107696533</v>
      </c>
    </row>
    <row r="169" ht="12.75">
      <c r="B169">
        <v>0.6690697073936462</v>
      </c>
    </row>
    <row r="170" ht="12.75">
      <c r="B170">
        <v>0.4653671979904175</v>
      </c>
    </row>
    <row r="171" ht="12.75">
      <c r="B171">
        <v>0.5661597847938538</v>
      </c>
    </row>
    <row r="172" ht="12.75">
      <c r="B172">
        <v>0.23222684860229492</v>
      </c>
    </row>
    <row r="173" ht="12.75">
      <c r="B173">
        <v>0.016191184520721436</v>
      </c>
    </row>
    <row r="174" ht="12.75">
      <c r="B174">
        <v>0.2553015947341919</v>
      </c>
    </row>
    <row r="175" ht="12.75">
      <c r="B175">
        <v>0.9524601101875305</v>
      </c>
    </row>
    <row r="176" ht="12.75">
      <c r="B176">
        <v>0.05501532554626465</v>
      </c>
    </row>
    <row r="177" ht="12.75">
      <c r="B177">
        <v>0.8527573943138123</v>
      </c>
    </row>
    <row r="178" ht="12.75">
      <c r="B178">
        <v>0.08080804347991943</v>
      </c>
    </row>
    <row r="179" ht="12.75">
      <c r="B179">
        <v>0.7203255295753479</v>
      </c>
    </row>
    <row r="180" ht="12.75">
      <c r="B180">
        <v>0.2682647705078125</v>
      </c>
    </row>
    <row r="181" ht="12.75">
      <c r="B181">
        <v>0.9124719500541687</v>
      </c>
    </row>
    <row r="182" ht="12.75">
      <c r="B182">
        <v>0.0532757043838501</v>
      </c>
    </row>
    <row r="183" ht="12.75">
      <c r="B183">
        <v>0.5980885624885559</v>
      </c>
    </row>
    <row r="184" ht="12.75">
      <c r="B184">
        <v>0.4994776248931885</v>
      </c>
    </row>
    <row r="185" ht="12.75">
      <c r="B185">
        <v>0.8753275275230408</v>
      </c>
    </row>
    <row r="186" ht="12.75">
      <c r="B186">
        <v>0.4452265501022339</v>
      </c>
    </row>
    <row r="187" ht="12.75">
      <c r="B187">
        <v>0.8306832909584045</v>
      </c>
    </row>
    <row r="188" ht="12.75">
      <c r="B188">
        <v>0.8263516426086426</v>
      </c>
    </row>
    <row r="189" ht="12.75">
      <c r="B189">
        <v>0.07073086500167847</v>
      </c>
    </row>
    <row r="190" ht="12.75">
      <c r="B190">
        <v>0.5809403657913208</v>
      </c>
    </row>
    <row r="191" ht="12.75">
      <c r="B191">
        <v>0.5077703595161438</v>
      </c>
    </row>
    <row r="192" ht="12.75">
      <c r="B192">
        <v>0.7924048900604248</v>
      </c>
    </row>
    <row r="193" ht="12.75">
      <c r="B193">
        <v>0.4306277632713318</v>
      </c>
    </row>
    <row r="194" ht="12.75">
      <c r="B194">
        <v>0.9770797491073608</v>
      </c>
    </row>
    <row r="195" ht="12.75">
      <c r="B195">
        <v>0.14186197519302368</v>
      </c>
    </row>
    <row r="196" ht="12.75">
      <c r="B196">
        <v>0.6726007461547852</v>
      </c>
    </row>
    <row r="197" ht="12.75">
      <c r="B197">
        <v>0.6926280856132507</v>
      </c>
    </row>
    <row r="198" ht="12.75">
      <c r="B198">
        <v>0.733315110206604</v>
      </c>
    </row>
    <row r="199" ht="12.75">
      <c r="B199">
        <v>0.4964469075202942</v>
      </c>
    </row>
    <row r="200" ht="12.75">
      <c r="B200">
        <v>0.9889729022979736</v>
      </c>
    </row>
    <row r="201" ht="12.75">
      <c r="B201">
        <v>0.8531307578086853</v>
      </c>
    </row>
    <row r="202" ht="12.75">
      <c r="B202">
        <v>0.1729496717453003</v>
      </c>
    </row>
    <row r="203" ht="12.75">
      <c r="B203">
        <v>0.6641154885292053</v>
      </c>
    </row>
    <row r="204" ht="12.75">
      <c r="B204">
        <v>0.27625036239624023</v>
      </c>
    </row>
    <row r="205" ht="12.75">
      <c r="B205">
        <v>0.8704487681388855</v>
      </c>
    </row>
    <row r="206" ht="12.75">
      <c r="B206">
        <v>0.7335444688796997</v>
      </c>
    </row>
    <row r="207" ht="12.75">
      <c r="B207">
        <v>0.3946846127510071</v>
      </c>
    </row>
    <row r="208" ht="12.75">
      <c r="B208">
        <v>0.09748244285583496</v>
      </c>
    </row>
    <row r="209" ht="12.75">
      <c r="B209">
        <v>0.6179341673851013</v>
      </c>
    </row>
    <row r="210" ht="12.75">
      <c r="B210">
        <v>0.10754334926605225</v>
      </c>
    </row>
    <row r="211" ht="12.75">
      <c r="B211">
        <v>0.6733227372169495</v>
      </c>
    </row>
    <row r="212" ht="12.75">
      <c r="B212">
        <v>0.3096637725830078</v>
      </c>
    </row>
    <row r="213" ht="12.75">
      <c r="B213">
        <v>0.08710306882858276</v>
      </c>
    </row>
    <row r="214" ht="12.75">
      <c r="B214">
        <v>0.6328979730606079</v>
      </c>
    </row>
    <row r="215" ht="12.75">
      <c r="B215">
        <v>0.5486748814582825</v>
      </c>
    </row>
    <row r="216" ht="12.75">
      <c r="B216">
        <v>0.5793592929840088</v>
      </c>
    </row>
    <row r="217" ht="12.75">
      <c r="B217">
        <v>0.8407606482505798</v>
      </c>
    </row>
    <row r="218" ht="12.75">
      <c r="B218">
        <v>0.9336928129196167</v>
      </c>
    </row>
    <row r="219" ht="12.75">
      <c r="B219">
        <v>0.2109876275062561</v>
      </c>
    </row>
    <row r="220" ht="12.75">
      <c r="B220">
        <v>0.1483292579650879</v>
      </c>
    </row>
  </sheetData>
  <printOptions/>
  <pageMargins left="0.75" right="0.75" top="1" bottom="1" header="0.5" footer="0.5"/>
  <pageSetup horizontalDpi="600" verticalDpi="600" orientation="portrait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4"/>
  <dimension ref="A1:P110"/>
  <sheetViews>
    <sheetView workbookViewId="0" topLeftCell="A1">
      <selection activeCell="C8" sqref="C8"/>
    </sheetView>
  </sheetViews>
  <sheetFormatPr defaultColWidth="9.140625" defaultRowHeight="12.75"/>
  <cols>
    <col min="1" max="1" width="9.28125" style="2" customWidth="1"/>
  </cols>
  <sheetData>
    <row r="1" spans="1:16" ht="23.25">
      <c r="A1" s="252" t="s">
        <v>236</v>
      </c>
      <c r="B1" s="252"/>
      <c r="C1" s="144"/>
      <c r="D1" s="253" t="s">
        <v>237</v>
      </c>
      <c r="E1" s="253"/>
      <c r="F1" s="144"/>
      <c r="G1" s="254" t="s">
        <v>238</v>
      </c>
      <c r="H1" s="254"/>
      <c r="I1" s="254"/>
      <c r="J1" s="254"/>
      <c r="K1" s="145"/>
      <c r="L1" s="144"/>
      <c r="M1" s="255"/>
      <c r="N1" s="255"/>
      <c r="O1" s="146"/>
      <c r="P1" s="4"/>
    </row>
    <row r="2" spans="1:16" ht="12.75">
      <c r="A2" s="256" t="str">
        <f>'Core Stationing'!$D$5</f>
        <v>SP</v>
      </c>
      <c r="B2" s="256"/>
      <c r="C2" s="257">
        <f>'Core Stationing'!$E$5</f>
        <v>0</v>
      </c>
      <c r="D2" s="257"/>
      <c r="E2" s="23"/>
      <c r="F2" s="23"/>
      <c r="G2" s="258" t="s">
        <v>239</v>
      </c>
      <c r="H2" s="258"/>
      <c r="I2" s="259">
        <f>'Core Stationing'!$N$12</f>
        <v>0</v>
      </c>
      <c r="J2" s="259"/>
      <c r="K2" s="23"/>
      <c r="L2" s="263" t="s">
        <v>240</v>
      </c>
      <c r="M2" s="263"/>
      <c r="N2" s="264"/>
      <c r="O2" s="264"/>
      <c r="P2" s="4"/>
    </row>
    <row r="3" spans="1:16" ht="12.75">
      <c r="A3" s="256" t="str">
        <f>'Core Stationing'!$H$5</f>
        <v>TH</v>
      </c>
      <c r="B3" s="256"/>
      <c r="C3" s="261">
        <f>'Core Stationing'!$J$5</f>
        <v>0</v>
      </c>
      <c r="D3" s="261"/>
      <c r="E3" s="23"/>
      <c r="F3" s="23"/>
      <c r="G3" s="262" t="s">
        <v>241</v>
      </c>
      <c r="H3" s="262"/>
      <c r="I3" s="257">
        <f>'Core Stationing'!$N$18</f>
        <v>0</v>
      </c>
      <c r="J3" s="257"/>
      <c r="K3" s="23"/>
      <c r="L3" s="256" t="s">
        <v>242</v>
      </c>
      <c r="M3" s="256"/>
      <c r="N3" s="260"/>
      <c r="O3" s="260"/>
      <c r="P3" s="4"/>
    </row>
    <row r="4" spans="1:16" ht="12.75">
      <c r="A4" s="256" t="s">
        <v>10</v>
      </c>
      <c r="B4" s="256"/>
      <c r="C4" s="261">
        <f>'Core Stationing'!$M$5</f>
        <v>0</v>
      </c>
      <c r="D4" s="261"/>
      <c r="E4" s="23"/>
      <c r="F4" s="23"/>
      <c r="G4" s="270" t="s">
        <v>6</v>
      </c>
      <c r="H4" s="270"/>
      <c r="I4" s="268">
        <f>'Core Stationing'!$N$8</f>
        <v>0</v>
      </c>
      <c r="J4" s="271"/>
      <c r="K4" s="23"/>
      <c r="L4" s="256" t="s">
        <v>243</v>
      </c>
      <c r="M4" s="256"/>
      <c r="N4" s="260"/>
      <c r="O4" s="260"/>
      <c r="P4" s="4"/>
    </row>
    <row r="5" spans="1:15" ht="12.75">
      <c r="A5" s="256" t="s">
        <v>0</v>
      </c>
      <c r="B5" s="256"/>
      <c r="C5" s="257">
        <f>'Core Stationing'!$E$6</f>
        <v>0</v>
      </c>
      <c r="D5" s="257"/>
      <c r="E5" s="23"/>
      <c r="F5" s="23"/>
      <c r="G5" s="267" t="s">
        <v>14</v>
      </c>
      <c r="H5" s="267"/>
      <c r="I5" s="268">
        <f>'Core Stationing'!$N$10</f>
        <v>0</v>
      </c>
      <c r="J5" s="269"/>
      <c r="K5" s="23"/>
      <c r="L5" s="265" t="s">
        <v>244</v>
      </c>
      <c r="M5" s="265"/>
      <c r="N5" s="266"/>
      <c r="O5" s="266"/>
    </row>
    <row r="6" spans="1:16" ht="12.75">
      <c r="A6" s="23"/>
      <c r="B6" s="23"/>
      <c r="C6" s="105" t="s">
        <v>245</v>
      </c>
      <c r="D6" s="105" t="s">
        <v>246</v>
      </c>
      <c r="E6" s="105" t="s">
        <v>247</v>
      </c>
      <c r="F6" s="106"/>
      <c r="G6" s="106"/>
      <c r="H6" s="106"/>
      <c r="I6" s="106"/>
      <c r="J6" s="106"/>
      <c r="K6" s="105" t="s">
        <v>248</v>
      </c>
      <c r="L6" s="107"/>
      <c r="M6" s="105" t="s">
        <v>249</v>
      </c>
      <c r="N6" s="105" t="s">
        <v>250</v>
      </c>
      <c r="O6" s="108" t="s">
        <v>251</v>
      </c>
      <c r="P6" s="4"/>
    </row>
    <row r="7" spans="1:16" ht="13.5" thickBot="1">
      <c r="A7" s="109" t="s">
        <v>252</v>
      </c>
      <c r="B7" s="109" t="s">
        <v>253</v>
      </c>
      <c r="C7" s="105" t="s">
        <v>254</v>
      </c>
      <c r="D7" s="105" t="s">
        <v>255</v>
      </c>
      <c r="E7" s="105" t="s">
        <v>256</v>
      </c>
      <c r="F7" s="105" t="s">
        <v>257</v>
      </c>
      <c r="G7" s="105" t="s">
        <v>258</v>
      </c>
      <c r="H7" s="105" t="s">
        <v>259</v>
      </c>
      <c r="I7" s="105" t="s">
        <v>260</v>
      </c>
      <c r="J7" s="105" t="s">
        <v>261</v>
      </c>
      <c r="K7" s="105" t="s">
        <v>262</v>
      </c>
      <c r="L7" s="105" t="s">
        <v>263</v>
      </c>
      <c r="M7" s="105" t="s">
        <v>263</v>
      </c>
      <c r="N7" s="105" t="s">
        <v>264</v>
      </c>
      <c r="O7" s="108" t="s">
        <v>265</v>
      </c>
      <c r="P7" s="110"/>
    </row>
    <row r="8" spans="1:16" ht="12.75">
      <c r="A8" s="272">
        <f>'Core Stationing'!$B$26</f>
        <v>1</v>
      </c>
      <c r="B8" s="147">
        <f>'Core Stationing'!$C$26</f>
        <v>1.1</v>
      </c>
      <c r="C8" s="111"/>
      <c r="D8" s="111"/>
      <c r="E8" s="111"/>
      <c r="F8" s="111"/>
      <c r="G8" s="111"/>
      <c r="H8" s="111"/>
      <c r="I8" s="111"/>
      <c r="J8" s="111"/>
      <c r="K8" s="111"/>
      <c r="L8" s="112"/>
      <c r="M8" s="112"/>
      <c r="N8" s="112"/>
      <c r="O8" s="113"/>
      <c r="P8" s="4"/>
    </row>
    <row r="9" spans="1:16" ht="12.75">
      <c r="A9" s="273"/>
      <c r="B9" s="148">
        <f>'Core Stationing'!$C$27</f>
        <v>1.2</v>
      </c>
      <c r="C9" s="114"/>
      <c r="D9" s="114"/>
      <c r="E9" s="114"/>
      <c r="F9" s="114"/>
      <c r="G9" s="114"/>
      <c r="H9" s="114"/>
      <c r="I9" s="114"/>
      <c r="J9" s="114"/>
      <c r="K9" s="114"/>
      <c r="L9" s="115"/>
      <c r="M9" s="116"/>
      <c r="N9" s="117"/>
      <c r="O9" s="118"/>
      <c r="P9" s="4"/>
    </row>
    <row r="10" spans="1:16" ht="12.75">
      <c r="A10" s="119" t="s">
        <v>266</v>
      </c>
      <c r="B10" s="149">
        <f>B8</f>
        <v>1.1</v>
      </c>
      <c r="C10" s="120"/>
      <c r="D10" s="114"/>
      <c r="E10" s="114"/>
      <c r="F10" s="114"/>
      <c r="G10" s="114"/>
      <c r="H10" s="114"/>
      <c r="I10" s="114"/>
      <c r="J10" s="114"/>
      <c r="K10" s="121"/>
      <c r="L10" s="115"/>
      <c r="M10" s="114"/>
      <c r="N10" s="122"/>
      <c r="O10" s="123"/>
      <c r="P10" s="4"/>
    </row>
    <row r="11" spans="1:16" ht="13.5" thickBot="1">
      <c r="A11" s="124" t="s">
        <v>266</v>
      </c>
      <c r="B11" s="150">
        <f>B9</f>
        <v>1.2</v>
      </c>
      <c r="C11" s="125"/>
      <c r="D11" s="126"/>
      <c r="E11" s="126"/>
      <c r="F11" s="126"/>
      <c r="G11" s="126"/>
      <c r="H11" s="126"/>
      <c r="I11" s="126"/>
      <c r="J11" s="126"/>
      <c r="K11" s="127"/>
      <c r="L11" s="128"/>
      <c r="M11" s="126"/>
      <c r="N11" s="129"/>
      <c r="O11" s="130"/>
      <c r="P11" s="4"/>
    </row>
    <row r="12" spans="1:16" ht="13.5" thickBot="1">
      <c r="A12" s="93"/>
      <c r="B12" s="36"/>
      <c r="C12" s="151"/>
      <c r="D12" s="91"/>
      <c r="E12" s="91"/>
      <c r="F12" s="22"/>
      <c r="G12" s="274"/>
      <c r="H12" s="274"/>
      <c r="I12" s="274"/>
      <c r="J12" s="152"/>
      <c r="K12" s="152"/>
      <c r="L12" s="153"/>
      <c r="M12" s="91"/>
      <c r="N12" s="154"/>
      <c r="O12" s="42"/>
      <c r="P12" s="4"/>
    </row>
    <row r="13" spans="1:16" ht="12.75">
      <c r="A13" s="272">
        <f>'Core Stationing'!$B$28</f>
      </c>
      <c r="B13" s="147">
        <f>'Core Stationing'!$C$28</f>
      </c>
      <c r="C13" s="131"/>
      <c r="D13" s="111"/>
      <c r="E13" s="111"/>
      <c r="F13" s="111"/>
      <c r="G13" s="111"/>
      <c r="H13" s="111"/>
      <c r="I13" s="111"/>
      <c r="J13" s="111"/>
      <c r="K13" s="111"/>
      <c r="L13" s="112"/>
      <c r="M13" s="112"/>
      <c r="N13" s="112"/>
      <c r="O13" s="113"/>
      <c r="P13" s="4"/>
    </row>
    <row r="14" spans="1:16" ht="12.75">
      <c r="A14" s="273"/>
      <c r="B14" s="148">
        <f>'Core Stationing'!$C$29</f>
      </c>
      <c r="C14" s="120"/>
      <c r="D14" s="114"/>
      <c r="E14" s="114"/>
      <c r="F14" s="114"/>
      <c r="G14" s="114"/>
      <c r="H14" s="114"/>
      <c r="I14" s="114"/>
      <c r="J14" s="114"/>
      <c r="K14" s="114"/>
      <c r="L14" s="115"/>
      <c r="M14" s="116"/>
      <c r="N14" s="117"/>
      <c r="O14" s="132"/>
      <c r="P14" s="4"/>
    </row>
    <row r="15" spans="1:16" ht="12.75">
      <c r="A15" s="119" t="s">
        <v>266</v>
      </c>
      <c r="B15" s="149">
        <f>B13</f>
      </c>
      <c r="C15" s="120"/>
      <c r="D15" s="114"/>
      <c r="E15" s="120"/>
      <c r="F15" s="114"/>
      <c r="G15" s="114"/>
      <c r="H15" s="120"/>
      <c r="I15" s="114"/>
      <c r="J15" s="114"/>
      <c r="K15" s="121"/>
      <c r="L15" s="115"/>
      <c r="M15" s="114"/>
      <c r="N15" s="117"/>
      <c r="O15" s="133"/>
      <c r="P15" s="4"/>
    </row>
    <row r="16" spans="1:16" ht="13.5" thickBot="1">
      <c r="A16" s="124" t="s">
        <v>266</v>
      </c>
      <c r="B16" s="150">
        <f>B14</f>
      </c>
      <c r="C16" s="125"/>
      <c r="D16" s="126"/>
      <c r="E16" s="125"/>
      <c r="F16" s="126"/>
      <c r="G16" s="126"/>
      <c r="H16" s="125"/>
      <c r="I16" s="126"/>
      <c r="J16" s="126"/>
      <c r="K16" s="127"/>
      <c r="L16" s="128"/>
      <c r="M16" s="126"/>
      <c r="N16" s="134"/>
      <c r="O16" s="135"/>
      <c r="P16" s="4"/>
    </row>
    <row r="17" spans="1:16" ht="13.5" thickBot="1">
      <c r="A17" s="93"/>
      <c r="B17" s="36"/>
      <c r="C17" s="151"/>
      <c r="D17" s="155"/>
      <c r="E17" s="155"/>
      <c r="F17" s="155"/>
      <c r="G17" s="274"/>
      <c r="H17" s="274"/>
      <c r="I17" s="274"/>
      <c r="J17" s="152"/>
      <c r="K17" s="152"/>
      <c r="L17" s="153"/>
      <c r="M17" s="91"/>
      <c r="N17" s="153"/>
      <c r="O17" s="91"/>
      <c r="P17" s="4"/>
    </row>
    <row r="18" spans="1:16" ht="12.75">
      <c r="A18" s="272">
        <f>'Core Stationing'!$B$30</f>
      </c>
      <c r="B18" s="147">
        <f>'Core Stationing'!$C$30</f>
      </c>
      <c r="C18" s="131"/>
      <c r="D18" s="111"/>
      <c r="E18" s="111"/>
      <c r="F18" s="111"/>
      <c r="G18" s="111"/>
      <c r="H18" s="111"/>
      <c r="I18" s="111"/>
      <c r="J18" s="111"/>
      <c r="K18" s="111"/>
      <c r="L18" s="112"/>
      <c r="M18" s="112"/>
      <c r="N18" s="112"/>
      <c r="O18" s="136"/>
      <c r="P18" s="4"/>
    </row>
    <row r="19" spans="1:16" ht="12.75">
      <c r="A19" s="273"/>
      <c r="B19" s="148">
        <f>'Core Stationing'!$C$31</f>
      </c>
      <c r="C19" s="120"/>
      <c r="D19" s="114"/>
      <c r="E19" s="114"/>
      <c r="F19" s="114"/>
      <c r="G19" s="114"/>
      <c r="H19" s="114"/>
      <c r="I19" s="114"/>
      <c r="J19" s="114"/>
      <c r="K19" s="114"/>
      <c r="L19" s="115"/>
      <c r="M19" s="116"/>
      <c r="N19" s="117"/>
      <c r="O19" s="133"/>
      <c r="P19" s="4"/>
    </row>
    <row r="20" spans="1:16" ht="12.75">
      <c r="A20" s="119" t="s">
        <v>266</v>
      </c>
      <c r="B20" s="149">
        <f>B18</f>
      </c>
      <c r="C20" s="120"/>
      <c r="D20" s="114"/>
      <c r="E20" s="114"/>
      <c r="F20" s="114"/>
      <c r="G20" s="114"/>
      <c r="H20" s="114"/>
      <c r="I20" s="114"/>
      <c r="J20" s="114"/>
      <c r="K20" s="121"/>
      <c r="L20" s="115"/>
      <c r="M20" s="114"/>
      <c r="N20" s="117"/>
      <c r="O20" s="133"/>
      <c r="P20" s="4"/>
    </row>
    <row r="21" spans="1:16" ht="13.5" thickBot="1">
      <c r="A21" s="124" t="s">
        <v>266</v>
      </c>
      <c r="B21" s="150">
        <f>B19</f>
      </c>
      <c r="C21" s="125"/>
      <c r="D21" s="126"/>
      <c r="E21" s="126"/>
      <c r="F21" s="126"/>
      <c r="G21" s="126"/>
      <c r="H21" s="126"/>
      <c r="I21" s="126"/>
      <c r="J21" s="126"/>
      <c r="K21" s="127"/>
      <c r="L21" s="128"/>
      <c r="M21" s="126"/>
      <c r="N21" s="134"/>
      <c r="O21" s="135"/>
      <c r="P21" s="4"/>
    </row>
    <row r="22" spans="1:16" ht="13.5" thickBot="1">
      <c r="A22" s="93"/>
      <c r="B22" s="36"/>
      <c r="C22" s="151"/>
      <c r="D22" s="155"/>
      <c r="E22" s="155"/>
      <c r="F22" s="155"/>
      <c r="G22" s="274"/>
      <c r="H22" s="274"/>
      <c r="I22" s="274"/>
      <c r="J22" s="156"/>
      <c r="K22" s="152"/>
      <c r="L22" s="153"/>
      <c r="M22" s="91"/>
      <c r="N22" s="153"/>
      <c r="O22" s="91"/>
      <c r="P22" s="4"/>
    </row>
    <row r="23" spans="1:16" ht="12.75">
      <c r="A23" s="272">
        <f>'Core Stationing'!$B$32</f>
      </c>
      <c r="B23" s="147">
        <f>'Core Stationing'!$C$32</f>
      </c>
      <c r="C23" s="111"/>
      <c r="D23" s="111"/>
      <c r="E23" s="111"/>
      <c r="F23" s="111"/>
      <c r="G23" s="111"/>
      <c r="H23" s="111"/>
      <c r="I23" s="111"/>
      <c r="J23" s="111"/>
      <c r="K23" s="111"/>
      <c r="L23" s="112"/>
      <c r="M23" s="112"/>
      <c r="N23" s="112"/>
      <c r="O23" s="136"/>
      <c r="P23" s="4"/>
    </row>
    <row r="24" spans="1:16" ht="12.75">
      <c r="A24" s="273"/>
      <c r="B24" s="148">
        <f>'Core Stationing'!$C$33</f>
      </c>
      <c r="C24" s="114"/>
      <c r="D24" s="114"/>
      <c r="E24" s="114"/>
      <c r="F24" s="114"/>
      <c r="G24" s="114"/>
      <c r="H24" s="114"/>
      <c r="I24" s="114"/>
      <c r="J24" s="114"/>
      <c r="K24" s="114"/>
      <c r="L24" s="115"/>
      <c r="M24" s="116"/>
      <c r="N24" s="117"/>
      <c r="O24" s="133"/>
      <c r="P24" s="4"/>
    </row>
    <row r="25" spans="1:16" ht="12.75">
      <c r="A25" s="119" t="s">
        <v>266</v>
      </c>
      <c r="B25" s="149">
        <f>B23</f>
      </c>
      <c r="C25" s="120"/>
      <c r="D25" s="114"/>
      <c r="E25" s="120"/>
      <c r="F25" s="114"/>
      <c r="G25" s="114"/>
      <c r="H25" s="120"/>
      <c r="I25" s="114"/>
      <c r="J25" s="114"/>
      <c r="K25" s="121"/>
      <c r="L25" s="115"/>
      <c r="M25" s="114"/>
      <c r="N25" s="117"/>
      <c r="O25" s="133"/>
      <c r="P25" s="4"/>
    </row>
    <row r="26" spans="1:16" ht="13.5" thickBot="1">
      <c r="A26" s="124" t="s">
        <v>266</v>
      </c>
      <c r="B26" s="150">
        <f>B24</f>
      </c>
      <c r="C26" s="125"/>
      <c r="D26" s="126"/>
      <c r="E26" s="125"/>
      <c r="F26" s="126"/>
      <c r="G26" s="126"/>
      <c r="H26" s="125"/>
      <c r="I26" s="126"/>
      <c r="J26" s="126"/>
      <c r="K26" s="127"/>
      <c r="L26" s="128"/>
      <c r="M26" s="126"/>
      <c r="N26" s="134"/>
      <c r="O26" s="135"/>
      <c r="P26" s="4"/>
    </row>
    <row r="27" spans="1:16" ht="13.5" thickBot="1">
      <c r="A27" s="93"/>
      <c r="B27" s="36"/>
      <c r="C27" s="151"/>
      <c r="D27" s="155"/>
      <c r="E27" s="155"/>
      <c r="F27" s="155"/>
      <c r="G27" s="274"/>
      <c r="H27" s="274"/>
      <c r="I27" s="274"/>
      <c r="J27" s="156"/>
      <c r="K27" s="152"/>
      <c r="L27" s="153"/>
      <c r="M27" s="91"/>
      <c r="N27" s="153"/>
      <c r="O27" s="91"/>
      <c r="P27" s="4"/>
    </row>
    <row r="28" spans="1:16" ht="12.75">
      <c r="A28" s="272">
        <f>'Core Stationing'!$B$34</f>
      </c>
      <c r="B28" s="147">
        <f>'Core Stationing'!$C$34</f>
      </c>
      <c r="C28" s="111"/>
      <c r="D28" s="111"/>
      <c r="E28" s="111"/>
      <c r="F28" s="111"/>
      <c r="G28" s="111"/>
      <c r="H28" s="111"/>
      <c r="I28" s="111"/>
      <c r="J28" s="111"/>
      <c r="K28" s="111"/>
      <c r="L28" s="112"/>
      <c r="M28" s="112"/>
      <c r="N28" s="112"/>
      <c r="O28" s="136"/>
      <c r="P28" s="4"/>
    </row>
    <row r="29" spans="1:16" ht="12.75">
      <c r="A29" s="273"/>
      <c r="B29" s="148">
        <f>'Core Stationing'!$C$35</f>
      </c>
      <c r="C29" s="114"/>
      <c r="D29" s="114"/>
      <c r="E29" s="114"/>
      <c r="F29" s="114"/>
      <c r="G29" s="114"/>
      <c r="H29" s="114"/>
      <c r="I29" s="114"/>
      <c r="J29" s="114"/>
      <c r="K29" s="114"/>
      <c r="L29" s="115"/>
      <c r="M29" s="116"/>
      <c r="N29" s="117"/>
      <c r="O29" s="133"/>
      <c r="P29" s="4"/>
    </row>
    <row r="30" spans="1:16" ht="12.75">
      <c r="A30" s="119" t="s">
        <v>266</v>
      </c>
      <c r="B30" s="149">
        <f>B28</f>
      </c>
      <c r="C30" s="120"/>
      <c r="D30" s="114"/>
      <c r="E30" s="120"/>
      <c r="F30" s="114"/>
      <c r="G30" s="114"/>
      <c r="H30" s="120"/>
      <c r="I30" s="114"/>
      <c r="J30" s="114"/>
      <c r="K30" s="121"/>
      <c r="L30" s="115"/>
      <c r="M30" s="114"/>
      <c r="N30" s="117"/>
      <c r="O30" s="133"/>
      <c r="P30" s="4"/>
    </row>
    <row r="31" spans="1:16" ht="13.5" thickBot="1">
      <c r="A31" s="124" t="s">
        <v>266</v>
      </c>
      <c r="B31" s="150">
        <f>B29</f>
      </c>
      <c r="C31" s="125"/>
      <c r="D31" s="126"/>
      <c r="E31" s="125"/>
      <c r="F31" s="126"/>
      <c r="G31" s="126"/>
      <c r="H31" s="125"/>
      <c r="I31" s="126"/>
      <c r="J31" s="126"/>
      <c r="K31" s="127"/>
      <c r="L31" s="128"/>
      <c r="M31" s="126"/>
      <c r="N31" s="134"/>
      <c r="O31" s="135"/>
      <c r="P31" s="4"/>
    </row>
    <row r="32" spans="1:16" ht="13.5" thickBot="1">
      <c r="A32" s="93"/>
      <c r="B32" s="36"/>
      <c r="C32" s="151"/>
      <c r="D32" s="155"/>
      <c r="E32" s="155"/>
      <c r="F32" s="155"/>
      <c r="G32" s="274"/>
      <c r="H32" s="274"/>
      <c r="I32" s="274"/>
      <c r="J32" s="156"/>
      <c r="K32" s="152"/>
      <c r="L32" s="153"/>
      <c r="M32" s="91"/>
      <c r="N32" s="153"/>
      <c r="O32" s="91"/>
      <c r="P32" s="4"/>
    </row>
    <row r="33" spans="1:16" ht="12.75">
      <c r="A33" s="272">
        <f>'Core Stationing'!$B$36</f>
      </c>
      <c r="B33" s="147">
        <f>'Core Stationing'!$C$36</f>
      </c>
      <c r="C33" s="111"/>
      <c r="D33" s="111"/>
      <c r="E33" s="111"/>
      <c r="F33" s="111"/>
      <c r="G33" s="111"/>
      <c r="H33" s="111"/>
      <c r="I33" s="111"/>
      <c r="J33" s="111"/>
      <c r="K33" s="111"/>
      <c r="L33" s="112"/>
      <c r="M33" s="112"/>
      <c r="N33" s="112"/>
      <c r="O33" s="136"/>
      <c r="P33" s="4"/>
    </row>
    <row r="34" spans="1:16" ht="12.75">
      <c r="A34" s="273"/>
      <c r="B34" s="148">
        <f>'Core Stationing'!$C$37</f>
      </c>
      <c r="C34" s="114"/>
      <c r="D34" s="114"/>
      <c r="E34" s="114"/>
      <c r="F34" s="114"/>
      <c r="G34" s="114"/>
      <c r="H34" s="114"/>
      <c r="I34" s="114"/>
      <c r="J34" s="114"/>
      <c r="K34" s="114"/>
      <c r="L34" s="115"/>
      <c r="M34" s="116"/>
      <c r="N34" s="117"/>
      <c r="O34" s="133"/>
      <c r="P34" s="4"/>
    </row>
    <row r="35" spans="1:16" ht="12.75">
      <c r="A35" s="119" t="s">
        <v>266</v>
      </c>
      <c r="B35" s="149">
        <f>B33</f>
      </c>
      <c r="C35" s="120"/>
      <c r="D35" s="114"/>
      <c r="E35" s="114"/>
      <c r="F35" s="114"/>
      <c r="G35" s="114"/>
      <c r="H35" s="114"/>
      <c r="I35" s="114"/>
      <c r="J35" s="114"/>
      <c r="K35" s="121"/>
      <c r="L35" s="115"/>
      <c r="M35" s="114"/>
      <c r="N35" s="117"/>
      <c r="O35" s="133"/>
      <c r="P35" s="4"/>
    </row>
    <row r="36" spans="1:16" ht="13.5" thickBot="1">
      <c r="A36" s="124" t="s">
        <v>266</v>
      </c>
      <c r="B36" s="150">
        <f>B34</f>
      </c>
      <c r="C36" s="125"/>
      <c r="D36" s="126"/>
      <c r="E36" s="126"/>
      <c r="F36" s="126"/>
      <c r="G36" s="126"/>
      <c r="H36" s="126"/>
      <c r="I36" s="126"/>
      <c r="J36" s="126"/>
      <c r="K36" s="127"/>
      <c r="L36" s="128"/>
      <c r="M36" s="126"/>
      <c r="N36" s="134"/>
      <c r="O36" s="135"/>
      <c r="P36" s="4"/>
    </row>
    <row r="37" spans="1:16" ht="12.75">
      <c r="A37" s="93"/>
      <c r="B37" s="36"/>
      <c r="C37" s="151"/>
      <c r="D37" s="155"/>
      <c r="E37" s="155"/>
      <c r="F37" s="155"/>
      <c r="G37" s="274"/>
      <c r="H37" s="274"/>
      <c r="I37" s="274"/>
      <c r="J37" s="156"/>
      <c r="K37" s="152"/>
      <c r="L37" s="153"/>
      <c r="M37" s="91"/>
      <c r="N37" s="153"/>
      <c r="O37" s="91"/>
      <c r="P37" s="4"/>
    </row>
    <row r="38" spans="1:16" ht="12.75">
      <c r="A38" s="275" t="s">
        <v>267</v>
      </c>
      <c r="B38" s="275"/>
      <c r="C38" s="275"/>
      <c r="D38" s="275"/>
      <c r="E38" s="275"/>
      <c r="F38" s="137" t="s">
        <v>268</v>
      </c>
      <c r="G38" s="276"/>
      <c r="H38" s="276"/>
      <c r="I38" s="276"/>
      <c r="J38" s="157"/>
      <c r="K38" s="137" t="s">
        <v>269</v>
      </c>
      <c r="L38" s="277"/>
      <c r="M38" s="277"/>
      <c r="N38" s="277"/>
      <c r="O38" s="157"/>
      <c r="P38" s="4"/>
    </row>
    <row r="39" spans="1:16" ht="12.75">
      <c r="A39" s="138"/>
      <c r="B39" s="4"/>
      <c r="C39" s="4"/>
      <c r="D39" s="4"/>
      <c r="E39" s="4"/>
      <c r="F39" s="4"/>
      <c r="G39" s="4"/>
      <c r="H39" s="4"/>
      <c r="I39" s="4"/>
      <c r="J39" s="4"/>
      <c r="K39" s="4"/>
      <c r="L39" s="278"/>
      <c r="M39" s="278"/>
      <c r="N39" s="278"/>
      <c r="O39" s="4"/>
      <c r="P39" s="4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</sheetData>
  <sheetProtection password="D86C" sheet="1" objects="1" scenarios="1"/>
  <mergeCells count="44">
    <mergeCell ref="A38:E38"/>
    <mergeCell ref="G38:I38"/>
    <mergeCell ref="L38:N38"/>
    <mergeCell ref="L39:N39"/>
    <mergeCell ref="A28:A29"/>
    <mergeCell ref="G32:I32"/>
    <mergeCell ref="A33:A34"/>
    <mergeCell ref="G37:I37"/>
    <mergeCell ref="A18:A19"/>
    <mergeCell ref="G22:I22"/>
    <mergeCell ref="A23:A24"/>
    <mergeCell ref="G27:I27"/>
    <mergeCell ref="A8:A9"/>
    <mergeCell ref="G12:I12"/>
    <mergeCell ref="A13:A14"/>
    <mergeCell ref="G17:I17"/>
    <mergeCell ref="L5:M5"/>
    <mergeCell ref="N5:O5"/>
    <mergeCell ref="A4:B4"/>
    <mergeCell ref="C4:D4"/>
    <mergeCell ref="A5:B5"/>
    <mergeCell ref="C5:D5"/>
    <mergeCell ref="G5:H5"/>
    <mergeCell ref="I5:J5"/>
    <mergeCell ref="G4:H4"/>
    <mergeCell ref="I4:J4"/>
    <mergeCell ref="L2:M2"/>
    <mergeCell ref="N2:O2"/>
    <mergeCell ref="L3:M3"/>
    <mergeCell ref="N3:O3"/>
    <mergeCell ref="L4:M4"/>
    <mergeCell ref="N4:O4"/>
    <mergeCell ref="A3:B3"/>
    <mergeCell ref="C3:D3"/>
    <mergeCell ref="G3:H3"/>
    <mergeCell ref="I3:J3"/>
    <mergeCell ref="A2:B2"/>
    <mergeCell ref="C2:D2"/>
    <mergeCell ref="G2:H2"/>
    <mergeCell ref="I2:J2"/>
    <mergeCell ref="A1:B1"/>
    <mergeCell ref="D1:E1"/>
    <mergeCell ref="G1:J1"/>
    <mergeCell ref="M1:N1"/>
  </mergeCells>
  <printOptions/>
  <pageMargins left="0.75" right="0.75" top="1" bottom="1" header="0.5" footer="0.5"/>
  <pageSetup horizontalDpi="600" verticalDpi="600" orientation="portrait" scale="66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/>
  <dimension ref="A1:P110"/>
  <sheetViews>
    <sheetView workbookViewId="0" topLeftCell="A1">
      <selection activeCell="C2" sqref="C2:D2"/>
    </sheetView>
  </sheetViews>
  <sheetFormatPr defaultColWidth="9.140625" defaultRowHeight="12.75"/>
  <cols>
    <col min="1" max="1" width="9.28125" style="2" customWidth="1"/>
  </cols>
  <sheetData>
    <row r="1" spans="1:16" ht="23.25">
      <c r="A1" s="252" t="s">
        <v>236</v>
      </c>
      <c r="B1" s="252"/>
      <c r="C1" s="144"/>
      <c r="D1" s="253" t="s">
        <v>237</v>
      </c>
      <c r="E1" s="253"/>
      <c r="F1" s="144"/>
      <c r="G1" s="254" t="s">
        <v>238</v>
      </c>
      <c r="H1" s="254"/>
      <c r="I1" s="254"/>
      <c r="J1" s="254"/>
      <c r="K1" s="145"/>
      <c r="L1" s="144"/>
      <c r="M1" s="255"/>
      <c r="N1" s="255"/>
      <c r="O1" s="146"/>
      <c r="P1" s="4"/>
    </row>
    <row r="2" spans="1:16" ht="12.75">
      <c r="A2" s="256" t="str">
        <f>'Core Stationing'!$D$5</f>
        <v>SP</v>
      </c>
      <c r="B2" s="256"/>
      <c r="C2" s="257"/>
      <c r="D2" s="257"/>
      <c r="E2" s="23"/>
      <c r="F2" s="23"/>
      <c r="G2" s="258" t="s">
        <v>239</v>
      </c>
      <c r="H2" s="258"/>
      <c r="I2" s="259"/>
      <c r="J2" s="259"/>
      <c r="K2" s="23"/>
      <c r="L2" s="263" t="s">
        <v>240</v>
      </c>
      <c r="M2" s="263"/>
      <c r="N2" s="264"/>
      <c r="O2" s="264"/>
      <c r="P2" s="4"/>
    </row>
    <row r="3" spans="1:16" ht="12.75">
      <c r="A3" s="256" t="str">
        <f>'Core Stationing'!$H$5</f>
        <v>TH</v>
      </c>
      <c r="B3" s="256"/>
      <c r="C3" s="261"/>
      <c r="D3" s="261"/>
      <c r="E3" s="23"/>
      <c r="F3" s="23"/>
      <c r="G3" s="262" t="s">
        <v>241</v>
      </c>
      <c r="H3" s="262"/>
      <c r="I3" s="257"/>
      <c r="J3" s="257"/>
      <c r="K3" s="23"/>
      <c r="L3" s="256" t="s">
        <v>242</v>
      </c>
      <c r="M3" s="256"/>
      <c r="N3" s="260"/>
      <c r="O3" s="260"/>
      <c r="P3" s="4"/>
    </row>
    <row r="4" spans="1:16" ht="12.75">
      <c r="A4" s="256" t="s">
        <v>10</v>
      </c>
      <c r="B4" s="256"/>
      <c r="C4" s="261"/>
      <c r="D4" s="261"/>
      <c r="E4" s="23"/>
      <c r="F4" s="23"/>
      <c r="G4" s="270" t="s">
        <v>6</v>
      </c>
      <c r="H4" s="270"/>
      <c r="I4" s="268"/>
      <c r="J4" s="271"/>
      <c r="K4" s="23"/>
      <c r="L4" s="256" t="s">
        <v>243</v>
      </c>
      <c r="M4" s="256"/>
      <c r="N4" s="260"/>
      <c r="O4" s="260"/>
      <c r="P4" s="4"/>
    </row>
    <row r="5" spans="1:15" ht="12.75">
      <c r="A5" s="256" t="s">
        <v>0</v>
      </c>
      <c r="B5" s="256"/>
      <c r="C5" s="257"/>
      <c r="D5" s="257"/>
      <c r="E5" s="23"/>
      <c r="F5" s="23"/>
      <c r="G5" s="267" t="s">
        <v>14</v>
      </c>
      <c r="H5" s="267"/>
      <c r="I5" s="268"/>
      <c r="J5" s="269"/>
      <c r="K5" s="23"/>
      <c r="L5" s="265" t="s">
        <v>244</v>
      </c>
      <c r="M5" s="265"/>
      <c r="N5" s="266"/>
      <c r="O5" s="266"/>
    </row>
    <row r="6" spans="1:16" ht="12.75">
      <c r="A6" s="23"/>
      <c r="B6" s="23"/>
      <c r="C6" s="105" t="s">
        <v>245</v>
      </c>
      <c r="D6" s="105" t="s">
        <v>246</v>
      </c>
      <c r="E6" s="105" t="s">
        <v>247</v>
      </c>
      <c r="F6" s="106"/>
      <c r="G6" s="106"/>
      <c r="H6" s="106"/>
      <c r="I6" s="106"/>
      <c r="J6" s="106"/>
      <c r="K6" s="105" t="s">
        <v>248</v>
      </c>
      <c r="L6" s="107"/>
      <c r="M6" s="105" t="s">
        <v>249</v>
      </c>
      <c r="N6" s="105" t="s">
        <v>250</v>
      </c>
      <c r="O6" s="108" t="s">
        <v>251</v>
      </c>
      <c r="P6" s="4"/>
    </row>
    <row r="7" spans="1:16" ht="13.5" thickBot="1">
      <c r="A7" s="109" t="s">
        <v>252</v>
      </c>
      <c r="B7" s="109" t="s">
        <v>253</v>
      </c>
      <c r="C7" s="105" t="s">
        <v>254</v>
      </c>
      <c r="D7" s="105" t="s">
        <v>255</v>
      </c>
      <c r="E7" s="105" t="s">
        <v>256</v>
      </c>
      <c r="F7" s="105" t="s">
        <v>257</v>
      </c>
      <c r="G7" s="105" t="s">
        <v>258</v>
      </c>
      <c r="H7" s="105" t="s">
        <v>259</v>
      </c>
      <c r="I7" s="105" t="s">
        <v>260</v>
      </c>
      <c r="J7" s="105" t="s">
        <v>261</v>
      </c>
      <c r="K7" s="105" t="s">
        <v>262</v>
      </c>
      <c r="L7" s="105" t="s">
        <v>263</v>
      </c>
      <c r="M7" s="105" t="s">
        <v>263</v>
      </c>
      <c r="N7" s="105" t="s">
        <v>264</v>
      </c>
      <c r="O7" s="108" t="s">
        <v>265</v>
      </c>
      <c r="P7" s="110"/>
    </row>
    <row r="8" spans="1:16" ht="12.75">
      <c r="A8" s="272"/>
      <c r="B8" s="147"/>
      <c r="C8" s="111"/>
      <c r="D8" s="111"/>
      <c r="E8" s="111"/>
      <c r="F8" s="111"/>
      <c r="G8" s="111"/>
      <c r="H8" s="111"/>
      <c r="I8" s="111"/>
      <c r="J8" s="111"/>
      <c r="K8" s="111"/>
      <c r="L8" s="112"/>
      <c r="M8" s="112"/>
      <c r="N8" s="112"/>
      <c r="O8" s="113"/>
      <c r="P8" s="4"/>
    </row>
    <row r="9" spans="1:16" ht="12.75">
      <c r="A9" s="273"/>
      <c r="B9" s="148"/>
      <c r="C9" s="114"/>
      <c r="D9" s="114"/>
      <c r="E9" s="114"/>
      <c r="F9" s="114"/>
      <c r="G9" s="114"/>
      <c r="H9" s="114"/>
      <c r="I9" s="114"/>
      <c r="J9" s="114"/>
      <c r="K9" s="114"/>
      <c r="L9" s="115"/>
      <c r="M9" s="116"/>
      <c r="N9" s="117"/>
      <c r="O9" s="118"/>
      <c r="P9" s="4"/>
    </row>
    <row r="10" spans="1:16" ht="12.75">
      <c r="A10" s="119" t="s">
        <v>266</v>
      </c>
      <c r="B10" s="149"/>
      <c r="C10" s="120"/>
      <c r="D10" s="114"/>
      <c r="E10" s="114"/>
      <c r="F10" s="114"/>
      <c r="G10" s="114"/>
      <c r="H10" s="114"/>
      <c r="I10" s="114"/>
      <c r="J10" s="114"/>
      <c r="K10" s="121"/>
      <c r="L10" s="115"/>
      <c r="M10" s="114"/>
      <c r="N10" s="122"/>
      <c r="O10" s="123"/>
      <c r="P10" s="4"/>
    </row>
    <row r="11" spans="1:16" ht="13.5" thickBot="1">
      <c r="A11" s="124" t="s">
        <v>266</v>
      </c>
      <c r="B11" s="150"/>
      <c r="C11" s="125"/>
      <c r="D11" s="126"/>
      <c r="E11" s="126"/>
      <c r="F11" s="126"/>
      <c r="G11" s="126"/>
      <c r="H11" s="126"/>
      <c r="I11" s="126"/>
      <c r="J11" s="126"/>
      <c r="K11" s="127"/>
      <c r="L11" s="128"/>
      <c r="M11" s="126"/>
      <c r="N11" s="129"/>
      <c r="O11" s="130"/>
      <c r="P11" s="4"/>
    </row>
    <row r="12" spans="1:16" ht="13.5" thickBot="1">
      <c r="A12" s="93"/>
      <c r="B12" s="36"/>
      <c r="C12" s="151"/>
      <c r="D12" s="91"/>
      <c r="E12" s="91"/>
      <c r="F12" s="22"/>
      <c r="G12" s="274"/>
      <c r="H12" s="274"/>
      <c r="I12" s="274"/>
      <c r="J12" s="152"/>
      <c r="K12" s="152"/>
      <c r="L12" s="153"/>
      <c r="M12" s="91"/>
      <c r="N12" s="154"/>
      <c r="O12" s="42"/>
      <c r="P12" s="4"/>
    </row>
    <row r="13" spans="1:16" ht="12.75">
      <c r="A13" s="272"/>
      <c r="B13" s="147"/>
      <c r="C13" s="131"/>
      <c r="D13" s="111"/>
      <c r="E13" s="111"/>
      <c r="F13" s="111"/>
      <c r="G13" s="111"/>
      <c r="H13" s="111"/>
      <c r="I13" s="111"/>
      <c r="J13" s="111"/>
      <c r="K13" s="111"/>
      <c r="L13" s="112"/>
      <c r="M13" s="112"/>
      <c r="N13" s="112"/>
      <c r="O13" s="113"/>
      <c r="P13" s="4"/>
    </row>
    <row r="14" spans="1:16" ht="12.75">
      <c r="A14" s="273"/>
      <c r="B14" s="148"/>
      <c r="C14" s="120"/>
      <c r="D14" s="114"/>
      <c r="E14" s="114"/>
      <c r="F14" s="114"/>
      <c r="G14" s="114"/>
      <c r="H14" s="114"/>
      <c r="I14" s="114"/>
      <c r="J14" s="114"/>
      <c r="K14" s="114"/>
      <c r="L14" s="115"/>
      <c r="M14" s="116"/>
      <c r="N14" s="117"/>
      <c r="O14" s="132"/>
      <c r="P14" s="4"/>
    </row>
    <row r="15" spans="1:16" ht="12.75">
      <c r="A15" s="119" t="s">
        <v>266</v>
      </c>
      <c r="B15" s="149"/>
      <c r="C15" s="120"/>
      <c r="D15" s="114"/>
      <c r="E15" s="120"/>
      <c r="F15" s="114"/>
      <c r="G15" s="114"/>
      <c r="H15" s="120"/>
      <c r="I15" s="114"/>
      <c r="J15" s="114"/>
      <c r="K15" s="121"/>
      <c r="L15" s="115"/>
      <c r="M15" s="114"/>
      <c r="N15" s="117"/>
      <c r="O15" s="133"/>
      <c r="P15" s="4"/>
    </row>
    <row r="16" spans="1:16" ht="13.5" thickBot="1">
      <c r="A16" s="124" t="s">
        <v>266</v>
      </c>
      <c r="B16" s="150"/>
      <c r="C16" s="125"/>
      <c r="D16" s="126"/>
      <c r="E16" s="125"/>
      <c r="F16" s="126"/>
      <c r="G16" s="126"/>
      <c r="H16" s="125"/>
      <c r="I16" s="126"/>
      <c r="J16" s="126"/>
      <c r="K16" s="127"/>
      <c r="L16" s="128"/>
      <c r="M16" s="126"/>
      <c r="N16" s="134"/>
      <c r="O16" s="135"/>
      <c r="P16" s="4"/>
    </row>
    <row r="17" spans="1:16" ht="13.5" thickBot="1">
      <c r="A17" s="93"/>
      <c r="B17" s="36"/>
      <c r="C17" s="151"/>
      <c r="D17" s="155"/>
      <c r="E17" s="155"/>
      <c r="F17" s="155"/>
      <c r="G17" s="274"/>
      <c r="H17" s="274"/>
      <c r="I17" s="274"/>
      <c r="J17" s="152"/>
      <c r="K17" s="152"/>
      <c r="L17" s="153"/>
      <c r="M17" s="91"/>
      <c r="N17" s="153"/>
      <c r="O17" s="91"/>
      <c r="P17" s="4"/>
    </row>
    <row r="18" spans="1:16" ht="12.75">
      <c r="A18" s="272"/>
      <c r="B18" s="147"/>
      <c r="C18" s="131"/>
      <c r="D18" s="111"/>
      <c r="E18" s="111"/>
      <c r="F18" s="111"/>
      <c r="G18" s="111"/>
      <c r="H18" s="111"/>
      <c r="I18" s="111"/>
      <c r="J18" s="111"/>
      <c r="K18" s="111"/>
      <c r="L18" s="112"/>
      <c r="M18" s="112"/>
      <c r="N18" s="112"/>
      <c r="O18" s="136"/>
      <c r="P18" s="4"/>
    </row>
    <row r="19" spans="1:16" ht="12.75">
      <c r="A19" s="273"/>
      <c r="B19" s="148"/>
      <c r="C19" s="120"/>
      <c r="D19" s="114"/>
      <c r="E19" s="114"/>
      <c r="F19" s="114"/>
      <c r="G19" s="114"/>
      <c r="H19" s="114"/>
      <c r="I19" s="114"/>
      <c r="J19" s="114"/>
      <c r="K19" s="114"/>
      <c r="L19" s="115"/>
      <c r="M19" s="116"/>
      <c r="N19" s="117"/>
      <c r="O19" s="133"/>
      <c r="P19" s="4"/>
    </row>
    <row r="20" spans="1:16" ht="12.75">
      <c r="A20" s="119" t="s">
        <v>266</v>
      </c>
      <c r="B20" s="149"/>
      <c r="C20" s="120"/>
      <c r="D20" s="114"/>
      <c r="E20" s="114"/>
      <c r="F20" s="114"/>
      <c r="G20" s="114"/>
      <c r="H20" s="114"/>
      <c r="I20" s="114"/>
      <c r="J20" s="114"/>
      <c r="K20" s="121"/>
      <c r="L20" s="115"/>
      <c r="M20" s="114"/>
      <c r="N20" s="117"/>
      <c r="O20" s="133"/>
      <c r="P20" s="4"/>
    </row>
    <row r="21" spans="1:16" ht="13.5" thickBot="1">
      <c r="A21" s="124" t="s">
        <v>266</v>
      </c>
      <c r="B21" s="150"/>
      <c r="C21" s="125"/>
      <c r="D21" s="126"/>
      <c r="E21" s="126"/>
      <c r="F21" s="126"/>
      <c r="G21" s="126"/>
      <c r="H21" s="126"/>
      <c r="I21" s="126"/>
      <c r="J21" s="126"/>
      <c r="K21" s="127"/>
      <c r="L21" s="128"/>
      <c r="M21" s="126"/>
      <c r="N21" s="134"/>
      <c r="O21" s="135"/>
      <c r="P21" s="4"/>
    </row>
    <row r="22" spans="1:16" ht="13.5" thickBot="1">
      <c r="A22" s="93"/>
      <c r="B22" s="36"/>
      <c r="C22" s="151"/>
      <c r="D22" s="155"/>
      <c r="E22" s="155"/>
      <c r="F22" s="155"/>
      <c r="G22" s="274"/>
      <c r="H22" s="274"/>
      <c r="I22" s="274"/>
      <c r="J22" s="156"/>
      <c r="K22" s="152"/>
      <c r="L22" s="153"/>
      <c r="M22" s="91"/>
      <c r="N22" s="153"/>
      <c r="O22" s="91"/>
      <c r="P22" s="4"/>
    </row>
    <row r="23" spans="1:16" ht="12.75">
      <c r="A23" s="272"/>
      <c r="B23" s="147"/>
      <c r="C23" s="111"/>
      <c r="D23" s="111"/>
      <c r="E23" s="111"/>
      <c r="F23" s="111"/>
      <c r="G23" s="111"/>
      <c r="H23" s="111"/>
      <c r="I23" s="111"/>
      <c r="J23" s="111"/>
      <c r="K23" s="111"/>
      <c r="L23" s="112"/>
      <c r="M23" s="112"/>
      <c r="N23" s="112"/>
      <c r="O23" s="136"/>
      <c r="P23" s="4"/>
    </row>
    <row r="24" spans="1:16" ht="12.75">
      <c r="A24" s="273"/>
      <c r="B24" s="148"/>
      <c r="C24" s="114"/>
      <c r="D24" s="114"/>
      <c r="E24" s="114"/>
      <c r="F24" s="114"/>
      <c r="G24" s="114"/>
      <c r="H24" s="114"/>
      <c r="I24" s="114"/>
      <c r="J24" s="114"/>
      <c r="K24" s="114"/>
      <c r="L24" s="115"/>
      <c r="M24" s="116"/>
      <c r="N24" s="117"/>
      <c r="O24" s="133"/>
      <c r="P24" s="4"/>
    </row>
    <row r="25" spans="1:16" ht="12.75">
      <c r="A25" s="119" t="s">
        <v>266</v>
      </c>
      <c r="B25" s="149"/>
      <c r="C25" s="120"/>
      <c r="D25" s="114"/>
      <c r="E25" s="120"/>
      <c r="F25" s="114"/>
      <c r="G25" s="114"/>
      <c r="H25" s="120"/>
      <c r="I25" s="114"/>
      <c r="J25" s="114"/>
      <c r="K25" s="121"/>
      <c r="L25" s="115"/>
      <c r="M25" s="114"/>
      <c r="N25" s="117"/>
      <c r="O25" s="133"/>
      <c r="P25" s="4"/>
    </row>
    <row r="26" spans="1:16" ht="13.5" thickBot="1">
      <c r="A26" s="124" t="s">
        <v>266</v>
      </c>
      <c r="B26" s="150"/>
      <c r="C26" s="125"/>
      <c r="D26" s="126"/>
      <c r="E26" s="125"/>
      <c r="F26" s="126"/>
      <c r="G26" s="126"/>
      <c r="H26" s="125"/>
      <c r="I26" s="126"/>
      <c r="J26" s="126"/>
      <c r="K26" s="127"/>
      <c r="L26" s="128"/>
      <c r="M26" s="126"/>
      <c r="N26" s="134"/>
      <c r="O26" s="135"/>
      <c r="P26" s="4"/>
    </row>
    <row r="27" spans="1:16" ht="13.5" thickBot="1">
      <c r="A27" s="93"/>
      <c r="B27" s="36"/>
      <c r="C27" s="151"/>
      <c r="D27" s="155"/>
      <c r="E27" s="155"/>
      <c r="F27" s="155"/>
      <c r="G27" s="274"/>
      <c r="H27" s="274"/>
      <c r="I27" s="274"/>
      <c r="J27" s="156"/>
      <c r="K27" s="152"/>
      <c r="L27" s="153"/>
      <c r="M27" s="91"/>
      <c r="N27" s="153"/>
      <c r="O27" s="91"/>
      <c r="P27" s="4"/>
    </row>
    <row r="28" spans="1:16" ht="12.75">
      <c r="A28" s="272"/>
      <c r="B28" s="147"/>
      <c r="C28" s="111"/>
      <c r="D28" s="111"/>
      <c r="E28" s="111"/>
      <c r="F28" s="111"/>
      <c r="G28" s="111"/>
      <c r="H28" s="111"/>
      <c r="I28" s="111"/>
      <c r="J28" s="111"/>
      <c r="K28" s="111"/>
      <c r="L28" s="112"/>
      <c r="M28" s="112"/>
      <c r="N28" s="112"/>
      <c r="O28" s="136"/>
      <c r="P28" s="4"/>
    </row>
    <row r="29" spans="1:16" ht="12.75">
      <c r="A29" s="273"/>
      <c r="B29" s="148"/>
      <c r="C29" s="114"/>
      <c r="D29" s="114"/>
      <c r="E29" s="114"/>
      <c r="F29" s="114"/>
      <c r="G29" s="114"/>
      <c r="H29" s="114"/>
      <c r="I29" s="114"/>
      <c r="J29" s="114"/>
      <c r="K29" s="114"/>
      <c r="L29" s="115"/>
      <c r="M29" s="116"/>
      <c r="N29" s="117"/>
      <c r="O29" s="133"/>
      <c r="P29" s="4"/>
    </row>
    <row r="30" spans="1:16" ht="12.75">
      <c r="A30" s="119" t="s">
        <v>266</v>
      </c>
      <c r="B30" s="149"/>
      <c r="C30" s="120"/>
      <c r="D30" s="114"/>
      <c r="E30" s="120"/>
      <c r="F30" s="114"/>
      <c r="G30" s="114"/>
      <c r="H30" s="120"/>
      <c r="I30" s="114"/>
      <c r="J30" s="114"/>
      <c r="K30" s="121"/>
      <c r="L30" s="115"/>
      <c r="M30" s="114"/>
      <c r="N30" s="117"/>
      <c r="O30" s="133"/>
      <c r="P30" s="4"/>
    </row>
    <row r="31" spans="1:16" ht="13.5" thickBot="1">
      <c r="A31" s="124" t="s">
        <v>266</v>
      </c>
      <c r="B31" s="150"/>
      <c r="C31" s="125"/>
      <c r="D31" s="126"/>
      <c r="E31" s="125"/>
      <c r="F31" s="126"/>
      <c r="G31" s="126"/>
      <c r="H31" s="125"/>
      <c r="I31" s="126"/>
      <c r="J31" s="126"/>
      <c r="K31" s="127"/>
      <c r="L31" s="128"/>
      <c r="M31" s="126"/>
      <c r="N31" s="134"/>
      <c r="O31" s="135"/>
      <c r="P31" s="4"/>
    </row>
    <row r="32" spans="1:16" ht="13.5" thickBot="1">
      <c r="A32" s="93"/>
      <c r="B32" s="36"/>
      <c r="C32" s="151"/>
      <c r="D32" s="155"/>
      <c r="E32" s="155"/>
      <c r="F32" s="155"/>
      <c r="G32" s="274"/>
      <c r="H32" s="274"/>
      <c r="I32" s="274"/>
      <c r="J32" s="156"/>
      <c r="K32" s="152"/>
      <c r="L32" s="153"/>
      <c r="M32" s="91"/>
      <c r="N32" s="153"/>
      <c r="O32" s="91"/>
      <c r="P32" s="4"/>
    </row>
    <row r="33" spans="1:16" ht="12.75">
      <c r="A33" s="272"/>
      <c r="B33" s="147"/>
      <c r="C33" s="111"/>
      <c r="D33" s="111"/>
      <c r="E33" s="111"/>
      <c r="F33" s="111"/>
      <c r="G33" s="111"/>
      <c r="H33" s="111"/>
      <c r="I33" s="111"/>
      <c r="J33" s="111"/>
      <c r="K33" s="111"/>
      <c r="L33" s="112"/>
      <c r="M33" s="112"/>
      <c r="N33" s="112"/>
      <c r="O33" s="136"/>
      <c r="P33" s="4"/>
    </row>
    <row r="34" spans="1:16" ht="12.75">
      <c r="A34" s="273"/>
      <c r="B34" s="148"/>
      <c r="C34" s="114"/>
      <c r="D34" s="114"/>
      <c r="E34" s="114"/>
      <c r="F34" s="114"/>
      <c r="G34" s="114"/>
      <c r="H34" s="114"/>
      <c r="I34" s="114"/>
      <c r="J34" s="114"/>
      <c r="K34" s="114"/>
      <c r="L34" s="115"/>
      <c r="M34" s="116"/>
      <c r="N34" s="117"/>
      <c r="O34" s="133"/>
      <c r="P34" s="4"/>
    </row>
    <row r="35" spans="1:16" ht="12.75">
      <c r="A35" s="119" t="s">
        <v>266</v>
      </c>
      <c r="B35" s="149"/>
      <c r="C35" s="120"/>
      <c r="D35" s="114"/>
      <c r="E35" s="114"/>
      <c r="F35" s="114"/>
      <c r="G35" s="114"/>
      <c r="H35" s="114"/>
      <c r="I35" s="114"/>
      <c r="J35" s="114"/>
      <c r="K35" s="121"/>
      <c r="L35" s="115"/>
      <c r="M35" s="114"/>
      <c r="N35" s="117"/>
      <c r="O35" s="133"/>
      <c r="P35" s="4"/>
    </row>
    <row r="36" spans="1:16" ht="13.5" thickBot="1">
      <c r="A36" s="124" t="s">
        <v>266</v>
      </c>
      <c r="B36" s="150"/>
      <c r="C36" s="125"/>
      <c r="D36" s="126"/>
      <c r="E36" s="126"/>
      <c r="F36" s="126"/>
      <c r="G36" s="126"/>
      <c r="H36" s="126"/>
      <c r="I36" s="126"/>
      <c r="J36" s="126"/>
      <c r="K36" s="127"/>
      <c r="L36" s="128"/>
      <c r="M36" s="126"/>
      <c r="N36" s="134"/>
      <c r="O36" s="135"/>
      <c r="P36" s="4"/>
    </row>
    <row r="37" spans="1:16" ht="12.75">
      <c r="A37" s="93"/>
      <c r="B37" s="36"/>
      <c r="C37" s="151"/>
      <c r="D37" s="155"/>
      <c r="E37" s="155"/>
      <c r="F37" s="155"/>
      <c r="G37" s="274"/>
      <c r="H37" s="274"/>
      <c r="I37" s="274"/>
      <c r="J37" s="156"/>
      <c r="K37" s="152"/>
      <c r="L37" s="153"/>
      <c r="M37" s="91"/>
      <c r="N37" s="153"/>
      <c r="O37" s="91"/>
      <c r="P37" s="4"/>
    </row>
    <row r="38" spans="1:16" ht="12.75">
      <c r="A38" s="275" t="s">
        <v>267</v>
      </c>
      <c r="B38" s="275"/>
      <c r="C38" s="275"/>
      <c r="D38" s="275"/>
      <c r="E38" s="275"/>
      <c r="F38" s="137" t="s">
        <v>268</v>
      </c>
      <c r="G38" s="276"/>
      <c r="H38" s="276"/>
      <c r="I38" s="276"/>
      <c r="J38" s="157"/>
      <c r="K38" s="137" t="s">
        <v>269</v>
      </c>
      <c r="L38" s="277"/>
      <c r="M38" s="277"/>
      <c r="N38" s="277"/>
      <c r="O38" s="157"/>
      <c r="P38" s="4"/>
    </row>
    <row r="39" spans="1:16" ht="12.75">
      <c r="A39" s="138"/>
      <c r="B39" s="4"/>
      <c r="C39" s="4"/>
      <c r="D39" s="4"/>
      <c r="E39" s="4"/>
      <c r="F39" s="4"/>
      <c r="G39" s="4"/>
      <c r="H39" s="4"/>
      <c r="I39" s="4"/>
      <c r="J39" s="4"/>
      <c r="K39" s="4"/>
      <c r="L39" s="278"/>
      <c r="M39" s="278"/>
      <c r="N39" s="278"/>
      <c r="O39" s="4"/>
      <c r="P39" s="4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</sheetData>
  <sheetProtection/>
  <mergeCells count="44">
    <mergeCell ref="A1:B1"/>
    <mergeCell ref="D1:E1"/>
    <mergeCell ref="G1:J1"/>
    <mergeCell ref="M1:N1"/>
    <mergeCell ref="A2:B2"/>
    <mergeCell ref="C2:D2"/>
    <mergeCell ref="G2:H2"/>
    <mergeCell ref="I2:J2"/>
    <mergeCell ref="L4:M4"/>
    <mergeCell ref="N4:O4"/>
    <mergeCell ref="A3:B3"/>
    <mergeCell ref="C3:D3"/>
    <mergeCell ref="G3:H3"/>
    <mergeCell ref="I3:J3"/>
    <mergeCell ref="L2:M2"/>
    <mergeCell ref="N2:O2"/>
    <mergeCell ref="L3:M3"/>
    <mergeCell ref="N3:O3"/>
    <mergeCell ref="L5:M5"/>
    <mergeCell ref="N5:O5"/>
    <mergeCell ref="A4:B4"/>
    <mergeCell ref="C4:D4"/>
    <mergeCell ref="A5:B5"/>
    <mergeCell ref="C5:D5"/>
    <mergeCell ref="G5:H5"/>
    <mergeCell ref="I5:J5"/>
    <mergeCell ref="G4:H4"/>
    <mergeCell ref="I4:J4"/>
    <mergeCell ref="A8:A9"/>
    <mergeCell ref="G12:I12"/>
    <mergeCell ref="A13:A14"/>
    <mergeCell ref="G17:I17"/>
    <mergeCell ref="A18:A19"/>
    <mergeCell ref="G22:I22"/>
    <mergeCell ref="A23:A24"/>
    <mergeCell ref="G27:I27"/>
    <mergeCell ref="A28:A29"/>
    <mergeCell ref="G32:I32"/>
    <mergeCell ref="A33:A34"/>
    <mergeCell ref="G37:I37"/>
    <mergeCell ref="A38:E38"/>
    <mergeCell ref="G38:I38"/>
    <mergeCell ref="L38:N38"/>
    <mergeCell ref="L39:N39"/>
  </mergeCells>
  <printOptions/>
  <pageMargins left="0.75" right="0.75" top="1" bottom="1" header="0.5" footer="0.5"/>
  <pageSetup horizontalDpi="600" verticalDpi="600" orientation="portrait" scale="66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/>
  <dimension ref="A1:E110"/>
  <sheetViews>
    <sheetView workbookViewId="0" topLeftCell="A1">
      <selection activeCell="B39" sqref="B39"/>
    </sheetView>
  </sheetViews>
  <sheetFormatPr defaultColWidth="9.140625" defaultRowHeight="12.75"/>
  <cols>
    <col min="1" max="1" width="9.28125" style="2" customWidth="1"/>
  </cols>
  <sheetData>
    <row r="1" ht="12.75">
      <c r="A1" s="1"/>
    </row>
    <row r="2" spans="1:4" ht="12.75">
      <c r="A2" s="1"/>
      <c r="B2" s="188">
        <v>39938</v>
      </c>
      <c r="D2" t="s">
        <v>362</v>
      </c>
    </row>
    <row r="3" spans="1:4" ht="12.75">
      <c r="A3" s="1"/>
      <c r="D3" t="s">
        <v>359</v>
      </c>
    </row>
    <row r="4" spans="1:4" ht="12.75">
      <c r="A4" s="1"/>
      <c r="D4" t="s">
        <v>391</v>
      </c>
    </row>
    <row r="5" spans="1:4" ht="12.75" hidden="1">
      <c r="A5" s="1"/>
      <c r="D5" s="191" t="s">
        <v>388</v>
      </c>
    </row>
    <row r="6" spans="1:4" ht="12.75" hidden="1">
      <c r="A6" s="1"/>
      <c r="D6" t="s">
        <v>361</v>
      </c>
    </row>
    <row r="7" ht="12.75">
      <c r="A7" s="1"/>
    </row>
    <row r="8" spans="1:4" ht="12.75">
      <c r="A8" s="1"/>
      <c r="B8" s="188">
        <v>39946</v>
      </c>
      <c r="D8" t="s">
        <v>376</v>
      </c>
    </row>
    <row r="9" spans="1:5" ht="12.75">
      <c r="A9" s="1"/>
      <c r="E9" t="s">
        <v>377</v>
      </c>
    </row>
    <row r="10" spans="1:5" ht="12.75">
      <c r="A10" s="1"/>
      <c r="D10" t="s">
        <v>378</v>
      </c>
      <c r="E10" t="s">
        <v>379</v>
      </c>
    </row>
    <row r="11" spans="1:5" ht="12.75" hidden="1">
      <c r="A11" s="1"/>
      <c r="E11" t="s">
        <v>380</v>
      </c>
    </row>
    <row r="12" spans="1:5" ht="12.75" hidden="1">
      <c r="A12" s="1"/>
      <c r="E12" t="s">
        <v>381</v>
      </c>
    </row>
    <row r="13" ht="12.75">
      <c r="A13" s="1"/>
    </row>
    <row r="14" spans="1:5" ht="12.75">
      <c r="A14" s="1"/>
      <c r="D14" t="s">
        <v>384</v>
      </c>
      <c r="E14" t="s">
        <v>385</v>
      </c>
    </row>
    <row r="15" spans="1:5" ht="12.75">
      <c r="A15" s="1"/>
      <c r="D15" t="s">
        <v>378</v>
      </c>
      <c r="E15" t="s">
        <v>386</v>
      </c>
    </row>
    <row r="16" spans="1:5" ht="12.75">
      <c r="A16" s="1"/>
      <c r="E16" t="s">
        <v>389</v>
      </c>
    </row>
    <row r="17" spans="1:5" ht="12.75" hidden="1">
      <c r="A17" s="1"/>
      <c r="E17" t="s">
        <v>390</v>
      </c>
    </row>
    <row r="18" spans="1:5" ht="12.75" hidden="1">
      <c r="A18" s="1"/>
      <c r="E18" t="s">
        <v>387</v>
      </c>
    </row>
    <row r="19" ht="12.75">
      <c r="A19" s="1"/>
    </row>
    <row r="20" spans="1:5" ht="12.75">
      <c r="A20" s="1"/>
      <c r="B20" s="188">
        <v>39960</v>
      </c>
      <c r="D20" t="s">
        <v>384</v>
      </c>
      <c r="E20" t="s">
        <v>392</v>
      </c>
    </row>
    <row r="21" spans="1:5" ht="12.75">
      <c r="A21" s="1"/>
      <c r="D21" t="s">
        <v>378</v>
      </c>
      <c r="E21" t="s">
        <v>393</v>
      </c>
    </row>
    <row r="22" spans="1:5" ht="12.75" hidden="1">
      <c r="A22" s="1"/>
      <c r="E22" t="s">
        <v>394</v>
      </c>
    </row>
    <row r="23" spans="1:5" ht="12.75" hidden="1">
      <c r="A23" s="1"/>
      <c r="E23" t="s">
        <v>395</v>
      </c>
    </row>
    <row r="24" ht="12.75">
      <c r="A24" s="1"/>
    </row>
    <row r="25" spans="1:5" ht="12.75">
      <c r="A25" s="1"/>
      <c r="B25" s="188">
        <v>39968</v>
      </c>
      <c r="D25" t="s">
        <v>384</v>
      </c>
      <c r="E25" t="s">
        <v>396</v>
      </c>
    </row>
    <row r="26" spans="1:5" ht="12.75">
      <c r="A26" s="1"/>
      <c r="D26" t="s">
        <v>378</v>
      </c>
      <c r="E26" t="s">
        <v>399</v>
      </c>
    </row>
    <row r="27" spans="1:4" ht="12.75" hidden="1">
      <c r="A27" s="1"/>
      <c r="D27" t="s">
        <v>397</v>
      </c>
    </row>
    <row r="28" ht="12.75">
      <c r="A28" s="1"/>
    </row>
    <row r="29" spans="1:5" ht="12.75">
      <c r="A29" s="1"/>
      <c r="B29" s="188">
        <v>39968</v>
      </c>
      <c r="D29" t="s">
        <v>384</v>
      </c>
      <c r="E29" t="s">
        <v>398</v>
      </c>
    </row>
    <row r="30" spans="1:5" ht="12.75">
      <c r="A30" s="1"/>
      <c r="D30" t="s">
        <v>378</v>
      </c>
      <c r="E30" t="s">
        <v>400</v>
      </c>
    </row>
    <row r="31" spans="1:4" ht="12.75" hidden="1">
      <c r="A31" s="1"/>
      <c r="D31" t="s">
        <v>401</v>
      </c>
    </row>
    <row r="32" ht="12.75">
      <c r="A32" s="1"/>
    </row>
    <row r="33" spans="1:5" ht="12.75">
      <c r="A33" s="1"/>
      <c r="B33" s="188">
        <v>39973</v>
      </c>
      <c r="D33" t="s">
        <v>384</v>
      </c>
      <c r="E33" t="s">
        <v>404</v>
      </c>
    </row>
    <row r="34" spans="1:5" ht="12.75">
      <c r="A34" s="1"/>
      <c r="D34" t="s">
        <v>378</v>
      </c>
      <c r="E34" t="s">
        <v>405</v>
      </c>
    </row>
    <row r="35" spans="1:5" ht="12.75" hidden="1">
      <c r="A35" s="1"/>
      <c r="E35" t="s">
        <v>406</v>
      </c>
    </row>
    <row r="36" spans="1:5" ht="12.75" hidden="1">
      <c r="A36" s="1"/>
      <c r="E36" t="s">
        <v>407</v>
      </c>
    </row>
    <row r="37" spans="1:5" ht="12.75" hidden="1">
      <c r="A37" s="1"/>
      <c r="E37" t="s">
        <v>408</v>
      </c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</sheetData>
  <sheetProtection password="D8EC" sheet="1" objects="1" scenarios="1"/>
  <printOptions/>
  <pageMargins left="0.75" right="0.75" top="1" bottom="1" header="0.5" footer="0.5"/>
  <pageSetup horizontalDpi="600" verticalDpi="6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MN/DOT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Bituminous Office</dc:creator>
  <cp:keywords/>
  <dc:description/>
  <cp:lastModifiedBy>john2gre</cp:lastModifiedBy>
  <cp:lastPrinted>2009-06-09T16:54:52Z</cp:lastPrinted>
  <dcterms:created xsi:type="dcterms:W3CDTF">1997-12-29T18:30:57Z</dcterms:created>
  <dcterms:modified xsi:type="dcterms:W3CDTF">2009-06-09T18:08:30Z</dcterms:modified>
  <cp:category/>
  <cp:version/>
  <cp:contentType/>
  <cp:contentStatus/>
</cp:coreProperties>
</file>